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130"/>
  <workbookPr showInkAnnotation="0" codeName="ThisWorkbook" autoCompressPictures="0"/>
  <mc:AlternateContent xmlns:mc="http://schemas.openxmlformats.org/markup-compatibility/2006">
    <mc:Choice Requires="x15">
      <x15ac:absPath xmlns:x15ac="http://schemas.microsoft.com/office/spreadsheetml/2010/11/ac" url="C:\Users\Reza\Desktop\CMRT template\Reza\New\"/>
    </mc:Choice>
  </mc:AlternateContent>
  <xr:revisionPtr revIDLastSave="0" documentId="13_ncr:8001_{3948A207-B645-41BF-B130-DCA227C77E1A}" xr6:coauthVersionLast="45" xr6:coauthVersionMax="45" xr10:uidLastSave="{00000000-0000-0000-0000-000000000000}"/>
  <workbookProtection workbookPassword="E31B"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MetalSmlter">'[1]Smelter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11" i="5" l="1"/>
  <c r="C11" i="5"/>
  <c r="B14" i="5"/>
  <c r="C14" i="5"/>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s="1"/>
  <c r="B54" i="6"/>
  <c r="G54" i="6" s="1"/>
  <c r="B53" i="6"/>
  <c r="G53" i="6" s="1"/>
  <c r="B50" i="6"/>
  <c r="G50" i="6" s="1"/>
  <c r="H14" i="6"/>
  <c r="H61" i="4"/>
  <c r="B86" i="4"/>
  <c r="B23" i="6" l="1"/>
  <c r="B33" i="6" s="1"/>
  <c r="F23" i="6"/>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B28" i="6" l="1"/>
  <c r="C12" i="6"/>
  <c r="G23" i="6"/>
  <c r="H23" i="6" s="1"/>
  <c r="D23" i="6" s="1"/>
  <c r="B38" i="6"/>
  <c r="B48" i="6"/>
  <c r="C4" i="6"/>
  <c r="B43" i="6"/>
  <c r="G43" i="6" s="1"/>
  <c r="C13" i="6"/>
  <c r="C11" i="6"/>
  <c r="C10" i="6"/>
  <c r="C8" i="6"/>
  <c r="C7" i="6"/>
  <c r="C5"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36" i="6" s="1"/>
  <c r="B30" i="6"/>
  <c r="G30" i="6" s="1"/>
  <c r="B41" i="6"/>
  <c r="G41" i="6" s="1"/>
  <c r="F63" i="6"/>
  <c r="G21" i="6"/>
  <c r="H21" i="6" s="1"/>
  <c r="B26" i="6"/>
  <c r="G26" i="6" s="1"/>
  <c r="H26" i="6" s="1"/>
  <c r="C26" i="6" s="1"/>
  <c r="B36" i="6"/>
  <c r="B46" i="6"/>
  <c r="G46" i="6" s="1"/>
  <c r="G31" i="6"/>
  <c r="H22" i="6"/>
  <c r="D22" i="6" s="1"/>
  <c r="G47" i="6"/>
  <c r="G42" i="6"/>
  <c r="K65" i="6"/>
  <c r="C65" i="6" s="1"/>
  <c r="G27" i="6"/>
  <c r="G32" i="6"/>
  <c r="G38" i="6"/>
  <c r="G35" i="6"/>
  <c r="G28" i="6"/>
  <c r="G33"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F37" i="6"/>
  <c r="H37" i="6" s="1"/>
  <c r="F64" i="6"/>
  <c r="F42" i="6"/>
  <c r="H42" i="6" s="1"/>
  <c r="C2" i="6"/>
  <c r="H61" i="6"/>
  <c r="D37" i="4"/>
  <c r="D43" i="4"/>
  <c r="D61" i="4"/>
  <c r="D55" i="4"/>
  <c r="D68" i="4"/>
  <c r="D31" i="4"/>
  <c r="D49" i="4"/>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F41" i="6" l="1"/>
  <c r="G36" i="6"/>
  <c r="H36" i="6" s="1"/>
  <c r="H47" i="6"/>
  <c r="C47" i="6" s="1"/>
  <c r="H41" i="6"/>
  <c r="H25" i="6"/>
  <c r="C25" i="6" s="1"/>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V19" i="5"/>
  <c r="AB25" i="5"/>
  <c r="AB29" i="5"/>
  <c r="V39" i="5"/>
  <c r="AB51" i="5"/>
  <c r="AB59" i="5"/>
  <c r="AB72" i="5"/>
  <c r="V86" i="5"/>
  <c r="V25" i="5"/>
  <c r="V32" i="5"/>
  <c r="G32" i="5" s="1"/>
  <c r="V36" i="5"/>
  <c r="G36" i="5" s="1"/>
  <c r="AB46" i="5"/>
  <c r="AB53" i="5"/>
  <c r="V59" i="5"/>
  <c r="G59" i="5" s="1"/>
  <c r="AB66" i="5"/>
  <c r="V77" i="5"/>
  <c r="G77" i="5" s="1"/>
  <c r="V94" i="5"/>
  <c r="G94" i="5" s="1"/>
  <c r="V5" i="5"/>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C62" i="6" s="1"/>
  <c r="F45" i="6"/>
  <c r="H45" i="6" s="1"/>
  <c r="F62" i="6"/>
  <c r="B2" i="6" s="1"/>
  <c r="F40" i="6"/>
  <c r="H40" i="6" s="1"/>
  <c r="D40" i="6" s="1"/>
  <c r="F35" i="6"/>
  <c r="H35" i="6" s="1"/>
  <c r="F30" i="6"/>
  <c r="H30" i="6" s="1"/>
  <c r="F46" i="6"/>
  <c r="H46" i="6" s="1"/>
  <c r="F31" i="6"/>
  <c r="H31" i="6" s="1"/>
  <c r="D31" i="6" s="1"/>
  <c r="C20" i="6"/>
  <c r="D21" i="6"/>
  <c r="C21" i="6"/>
  <c r="K63" i="6"/>
  <c r="D26" i="6"/>
  <c r="H32" i="6"/>
  <c r="C32" i="6" s="1"/>
  <c r="C22" i="6"/>
  <c r="C41" i="6"/>
  <c r="D41" i="6"/>
  <c r="F38" i="6"/>
  <c r="H38" i="6" s="1"/>
  <c r="F43" i="6"/>
  <c r="H43" i="6" s="1"/>
  <c r="H28" i="6"/>
  <c r="F65" i="6"/>
  <c r="F33" i="6"/>
  <c r="H33" i="6" s="1"/>
  <c r="F48" i="6"/>
  <c r="H48" i="6" s="1"/>
  <c r="F66" i="6"/>
  <c r="C42" i="6"/>
  <c r="D42" i="6"/>
  <c r="C27" i="6"/>
  <c r="D27" i="6"/>
  <c r="F56" i="6"/>
  <c r="H56" i="6" s="1"/>
  <c r="F59" i="6"/>
  <c r="H59" i="6" s="1"/>
  <c r="F54" i="6"/>
  <c r="H54" i="6" s="1"/>
  <c r="C54" i="6" s="1"/>
  <c r="F51" i="6"/>
  <c r="F55" i="6"/>
  <c r="H55" i="6" s="1"/>
  <c r="F60" i="6"/>
  <c r="H60" i="6" s="1"/>
  <c r="F58" i="6"/>
  <c r="H58" i="6" s="1"/>
  <c r="F53" i="6"/>
  <c r="H53" i="6" s="1"/>
  <c r="H50" i="6"/>
  <c r="C61" i="6"/>
  <c r="D61" i="6"/>
  <c r="C37" i="6"/>
  <c r="D37" i="6"/>
  <c r="D47" i="6"/>
  <c r="S466" i="5"/>
  <c r="T466" i="5"/>
  <c r="D32" i="6" l="1"/>
  <c r="C36" i="6"/>
  <c r="D36" i="6"/>
  <c r="D25" i="6"/>
  <c r="D35" i="6"/>
  <c r="C35" i="6"/>
  <c r="G57" i="5"/>
  <c r="I57" i="5"/>
  <c r="E57" i="5"/>
  <c r="I541" i="5"/>
  <c r="G541" i="5"/>
  <c r="E541" i="5"/>
  <c r="X541" i="5" s="1"/>
  <c r="H541" i="5"/>
  <c r="J57" i="5"/>
  <c r="R541" i="5"/>
  <c r="F57" i="5"/>
  <c r="H57" i="5"/>
  <c r="G73" i="5"/>
  <c r="F468" i="5"/>
  <c r="J541" i="5"/>
  <c r="F73" i="5"/>
  <c r="H73" i="5"/>
  <c r="J73" i="5"/>
  <c r="I73" i="5"/>
  <c r="J33" i="5"/>
  <c r="R33" i="5"/>
  <c r="I17" i="5"/>
  <c r="R17" i="5"/>
  <c r="H17" i="5"/>
  <c r="F33" i="5"/>
  <c r="I33" i="5"/>
  <c r="E33" i="5"/>
  <c r="X33" i="5" s="1"/>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R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R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R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R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R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R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33" i="5"/>
  <c r="T17" i="5"/>
  <c r="T468" i="5"/>
  <c r="S17"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24" i="5"/>
  <c r="T491" i="5"/>
  <c r="T535" i="5"/>
  <c r="T472" i="5"/>
  <c r="T357" i="5"/>
  <c r="T247" i="5"/>
  <c r="T168" i="5"/>
  <c r="T148" i="5"/>
  <c r="T31" i="5"/>
  <c r="T56" i="5"/>
  <c r="T78" i="5"/>
  <c r="T403" i="5"/>
  <c r="T538" i="5"/>
  <c r="T278" i="5"/>
  <c r="T189" i="5"/>
  <c r="T72" i="5"/>
  <c r="T91" i="5"/>
  <c r="T37"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30" i="5"/>
  <c r="T80" i="5"/>
  <c r="T157" i="5"/>
  <c r="T82" i="5"/>
  <c r="T42" i="5"/>
  <c r="T565" i="5"/>
  <c r="T455" i="5"/>
  <c r="T140" i="5"/>
  <c r="T270" i="5"/>
  <c r="T103" i="5"/>
  <c r="T558" i="5"/>
  <c r="T442" i="5"/>
  <c r="T353" i="5"/>
  <c r="T194" i="5"/>
  <c r="T160" i="5"/>
  <c r="T101" i="5"/>
  <c r="T44" i="5"/>
  <c r="T161" i="5"/>
  <c r="T46" i="5"/>
  <c r="T14" i="5"/>
  <c r="T133" i="5"/>
  <c r="T499" i="5"/>
  <c r="T381" i="5"/>
  <c r="T35" i="5"/>
  <c r="T19" i="5"/>
  <c r="T512" i="5"/>
  <c r="T458" i="5"/>
  <c r="T158" i="5"/>
  <c r="T25"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34" i="5"/>
  <c r="T432" i="5"/>
  <c r="T485" i="5"/>
  <c r="T402" i="5"/>
  <c r="T356" i="5"/>
  <c r="T210" i="5"/>
  <c r="T258" i="5"/>
  <c r="T216" i="5"/>
  <c r="T125" i="5"/>
  <c r="T165" i="5"/>
  <c r="T58" i="5"/>
  <c r="T146" i="5"/>
  <c r="T449" i="5"/>
  <c r="T224" i="5"/>
  <c r="T201" i="5"/>
  <c r="T181" i="5"/>
  <c r="T67" i="5"/>
  <c r="T15" i="5"/>
  <c r="T493" i="5"/>
  <c r="T443" i="5"/>
  <c r="T478" i="5"/>
  <c r="T364" i="5"/>
  <c r="T275" i="5"/>
  <c r="T232" i="5"/>
  <c r="T164" i="5"/>
  <c r="T550" i="5"/>
  <c r="T546" i="5"/>
  <c r="T498" i="5"/>
  <c r="T549" i="5"/>
  <c r="T104" i="5"/>
  <c r="T29" i="5"/>
  <c r="T177" i="5"/>
  <c r="T86" i="5"/>
  <c r="T39" i="5"/>
  <c r="T84" i="5"/>
  <c r="T529" i="5"/>
  <c r="T377" i="5"/>
  <c r="T384" i="5"/>
  <c r="T240" i="5"/>
  <c r="S541" i="5"/>
  <c r="T554" i="5"/>
  <c r="T585" i="5"/>
  <c r="T454" i="5"/>
  <c r="T439" i="5"/>
  <c r="T359" i="5"/>
  <c r="T250" i="5"/>
  <c r="T23"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13" i="5"/>
  <c r="T64" i="5"/>
  <c r="T28" i="5"/>
  <c r="T580" i="5"/>
  <c r="T416" i="5"/>
  <c r="T461" i="5"/>
  <c r="T456" i="5"/>
  <c r="T465" i="5"/>
  <c r="T425" i="5"/>
  <c r="T218" i="5"/>
  <c r="T156" i="5"/>
  <c r="T92" i="5"/>
  <c r="T490" i="5"/>
  <c r="T383" i="5"/>
  <c r="T212" i="5"/>
  <c r="T110" i="5"/>
  <c r="T70" i="5"/>
  <c r="T21" i="5"/>
  <c r="T75" i="5"/>
  <c r="T12" i="5"/>
  <c r="T115" i="5"/>
  <c r="T98" i="5"/>
  <c r="T81" i="5"/>
  <c r="T569" i="5"/>
  <c r="T379" i="5"/>
  <c r="T391" i="5"/>
  <c r="T505" i="5"/>
  <c r="T274" i="5"/>
  <c r="T196" i="5"/>
  <c r="T172" i="5"/>
  <c r="T108" i="5"/>
  <c r="T20" i="5"/>
  <c r="T27" i="5"/>
  <c r="T18"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S33" i="5"/>
  <c r="T366" i="5"/>
  <c r="T525" i="5"/>
  <c r="T199" i="5"/>
  <c r="T231" i="5"/>
  <c r="T280" i="5"/>
  <c r="T132" i="5"/>
  <c r="T551" i="5"/>
  <c r="T435" i="5"/>
  <c r="T568" i="5"/>
  <c r="S468" i="5"/>
  <c r="T273" i="5"/>
  <c r="T426" i="5"/>
  <c r="T533" i="5"/>
  <c r="T120" i="5"/>
  <c r="T405" i="5"/>
  <c r="T557" i="5"/>
  <c r="T429" i="5"/>
  <c r="T411" i="5"/>
  <c r="T388" i="5"/>
  <c r="T237" i="5"/>
  <c r="T171" i="5"/>
  <c r="T66" i="5"/>
  <c r="T59" i="5"/>
  <c r="T36" i="5"/>
  <c r="T245" i="5"/>
  <c r="T476" i="5"/>
  <c r="T440" i="5"/>
  <c r="T137" i="5"/>
  <c r="T427" i="5"/>
  <c r="T239" i="5"/>
  <c r="T261" i="5"/>
  <c r="T43" i="5"/>
  <c r="T540" i="5"/>
  <c r="T487" i="5"/>
  <c r="T373" i="5"/>
  <c r="T408" i="5"/>
  <c r="T482" i="5"/>
  <c r="T249" i="5"/>
  <c r="T234" i="5"/>
  <c r="T279" i="5"/>
  <c r="T117" i="5"/>
  <c r="T48" i="5"/>
  <c r="T453" i="5"/>
  <c r="T183" i="5"/>
  <c r="T76" i="5"/>
  <c r="T184" i="5"/>
  <c r="T16" i="5"/>
  <c r="T105" i="5"/>
  <c r="T268" i="5"/>
  <c r="T22" i="5"/>
  <c r="T492" i="5"/>
  <c r="T477" i="5"/>
  <c r="T123" i="5"/>
  <c r="T543" i="5"/>
  <c r="T576" i="5"/>
  <c r="T459" i="5"/>
  <c r="T202" i="5"/>
  <c r="T55" i="5"/>
  <c r="T523" i="5"/>
  <c r="T431" i="5"/>
  <c r="T392" i="5"/>
  <c r="T390" i="5"/>
  <c r="T252" i="5"/>
  <c r="T205" i="5"/>
  <c r="T96" i="5"/>
  <c r="T155" i="5"/>
  <c r="T60" i="5"/>
  <c r="T111" i="5"/>
  <c r="T355" i="5"/>
  <c r="T266" i="5"/>
  <c r="T265" i="5"/>
  <c r="T254" i="5"/>
  <c r="T494" i="5"/>
  <c r="T40" i="5"/>
  <c r="T79" i="5"/>
  <c r="T47" i="5"/>
  <c r="T63" i="5"/>
  <c r="T41" i="5"/>
  <c r="T282" i="5"/>
  <c r="T236" i="5"/>
  <c r="T193" i="5"/>
  <c r="T170" i="5"/>
  <c r="T166" i="5"/>
  <c r="T38" i="5"/>
  <c r="T566" i="5"/>
  <c r="T506" i="5"/>
  <c r="T126" i="5"/>
  <c r="T520" i="5"/>
  <c r="T486" i="5"/>
  <c r="T387" i="5"/>
  <c r="T246" i="5"/>
  <c r="T243" i="5"/>
  <c r="T134" i="5"/>
  <c r="T114" i="5"/>
  <c r="T97" i="5"/>
  <c r="T26" i="5"/>
  <c r="T169" i="5"/>
  <c r="T178" i="5"/>
  <c r="T11" i="5"/>
  <c r="T8" i="5"/>
  <c r="T10" i="5"/>
  <c r="T6" i="5"/>
  <c r="T5" i="5"/>
  <c r="T9" i="5"/>
  <c r="T7" i="5"/>
  <c r="H64" i="6" l="1"/>
  <c r="D64" i="6" s="1"/>
  <c r="C64" i="6"/>
  <c r="C63" i="6"/>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15"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2" i="5"/>
  <c r="S234" i="5"/>
  <c r="S487" i="5"/>
  <c r="S434" i="5"/>
  <c r="S371" i="5"/>
  <c r="S511" i="5"/>
  <c r="S113" i="5"/>
  <c r="S116" i="5"/>
  <c r="S255" i="5"/>
  <c r="S19" i="5"/>
  <c r="S131" i="5"/>
  <c r="S169" i="5"/>
  <c r="S452" i="5"/>
  <c r="S436" i="5"/>
  <c r="S213" i="5"/>
  <c r="S352" i="5"/>
  <c r="S496" i="5"/>
  <c r="S74" i="5"/>
  <c r="S530" i="5"/>
  <c r="S18" i="5"/>
  <c r="S274" i="5"/>
  <c r="S505" i="5"/>
  <c r="S509" i="5"/>
  <c r="S115" i="5"/>
  <c r="S67" i="5"/>
  <c r="S12" i="5"/>
  <c r="S75" i="5"/>
  <c r="S70" i="5"/>
  <c r="S91" i="5"/>
  <c r="S125" i="5"/>
  <c r="S258" i="5"/>
  <c r="S402" i="5"/>
  <c r="S403" i="5"/>
  <c r="S24"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40" i="5"/>
  <c r="S201" i="5"/>
  <c r="S420" i="5"/>
  <c r="S146" i="5"/>
  <c r="S110" i="5"/>
  <c r="S356" i="5"/>
  <c r="S432" i="5"/>
  <c r="S34"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41" i="5"/>
  <c r="S164" i="5"/>
  <c r="S275" i="5"/>
  <c r="S493" i="5"/>
  <c r="S569" i="5"/>
  <c r="S162" i="5"/>
  <c r="S153" i="5"/>
  <c r="S155" i="5"/>
  <c r="S96" i="5"/>
  <c r="S210" i="5"/>
  <c r="S392" i="5"/>
  <c r="S538" i="5"/>
  <c r="S559" i="5"/>
  <c r="S247" i="5"/>
  <c r="S394" i="5"/>
  <c r="S465" i="5"/>
  <c r="S580" i="5"/>
  <c r="S13" i="5"/>
  <c r="S105" i="5"/>
  <c r="S152" i="5"/>
  <c r="S354" i="5"/>
  <c r="S502" i="5"/>
  <c r="S260" i="5"/>
  <c r="S519" i="5"/>
  <c r="S207" i="5"/>
  <c r="S87" i="5"/>
  <c r="S521" i="5"/>
  <c r="S171" i="5"/>
  <c r="S369" i="5"/>
  <c r="S539" i="5"/>
  <c r="S277" i="5"/>
  <c r="S280" i="5"/>
  <c r="S562" i="5"/>
  <c r="S574" i="5"/>
  <c r="S397" i="5"/>
  <c r="S554" i="5"/>
  <c r="S39" i="5"/>
  <c r="S398" i="5"/>
  <c r="S68" i="5"/>
  <c r="S194" i="5"/>
  <c r="S257" i="5"/>
  <c r="S571" i="5"/>
  <c r="S167" i="5"/>
  <c r="S253" i="5"/>
  <c r="S93" i="5"/>
  <c r="S46" i="5"/>
  <c r="S386" i="5"/>
  <c r="S506" i="5"/>
  <c r="S38" i="5"/>
  <c r="S47" i="5"/>
  <c r="S364" i="5"/>
  <c r="S58" i="5"/>
  <c r="S92" i="5"/>
  <c r="S357" i="5"/>
  <c r="S560" i="5"/>
  <c r="S281" i="5"/>
  <c r="S395" i="5"/>
  <c r="S460" i="5"/>
  <c r="S239" i="5"/>
  <c r="S445" i="5"/>
  <c r="S36"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31" i="5"/>
  <c r="S472" i="5"/>
  <c r="S492" i="5"/>
  <c r="S23"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44" i="5"/>
  <c r="S243" i="5"/>
  <c r="S406" i="5"/>
  <c r="S399" i="5"/>
  <c r="S418" i="5"/>
  <c r="S469" i="5"/>
  <c r="S498" i="5"/>
  <c r="S566" i="5"/>
  <c r="S42" i="5"/>
  <c r="S193" i="5"/>
  <c r="S232" i="5"/>
  <c r="S182" i="5"/>
  <c r="S244" i="5"/>
  <c r="S205" i="5"/>
  <c r="S459" i="5"/>
  <c r="S123" i="5"/>
  <c r="S16" i="5"/>
  <c r="S242" i="5"/>
  <c r="S532" i="5"/>
  <c r="S238" i="5"/>
  <c r="S53" i="5"/>
  <c r="S476" i="5"/>
  <c r="S500" i="5"/>
  <c r="S45" i="5"/>
  <c r="S531" i="5"/>
  <c r="S568" i="5"/>
  <c r="S134" i="5"/>
  <c r="S101" i="5"/>
  <c r="S462" i="5"/>
  <c r="S211" i="5"/>
  <c r="S578" i="5"/>
  <c r="S27" i="5"/>
  <c r="S20" i="5"/>
  <c r="S351" i="5"/>
  <c r="S542" i="5"/>
  <c r="S145" i="5"/>
  <c r="S181" i="5"/>
  <c r="S61" i="5"/>
  <c r="S21" i="5"/>
  <c r="S37" i="5"/>
  <c r="S165" i="5"/>
  <c r="S216" i="5"/>
  <c r="S212" i="5"/>
  <c r="S383" i="5"/>
  <c r="S56" i="5"/>
  <c r="S491" i="5"/>
  <c r="S62" i="5"/>
  <c r="S456" i="5"/>
  <c r="S474" i="5"/>
  <c r="S28"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25" i="5"/>
  <c r="S457" i="5"/>
  <c r="S35" i="5"/>
  <c r="S133" i="5"/>
  <c r="S14" i="5"/>
  <c r="S161" i="5"/>
  <c r="S387" i="5"/>
  <c r="S141" i="5"/>
  <c r="S378" i="5"/>
  <c r="S380" i="5"/>
  <c r="S236" i="5"/>
  <c r="S143" i="5"/>
  <c r="S196" i="5"/>
  <c r="S254" i="5"/>
  <c r="S266" i="5"/>
  <c r="S278" i="5"/>
  <c r="S363" i="5"/>
  <c r="S127" i="5"/>
  <c r="S477" i="5"/>
  <c r="S575" i="5"/>
  <c r="S89" i="5"/>
  <c r="S154" i="5"/>
  <c r="S263" i="5"/>
  <c r="S467" i="5"/>
  <c r="S32"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30" i="5"/>
  <c r="S200" i="5"/>
  <c r="S520" i="5"/>
  <c r="S197" i="5"/>
  <c r="S370" i="5"/>
  <c r="S26" i="5"/>
  <c r="S160" i="5"/>
  <c r="S246" i="5"/>
  <c r="S353" i="5"/>
  <c r="S29"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11" i="5"/>
  <c r="S10" i="5"/>
  <c r="S5" i="5"/>
  <c r="S7" i="5"/>
  <c r="S9" i="5"/>
  <c r="S6" i="5"/>
  <c r="S8" i="5"/>
  <c r="H66" i="6" l="1"/>
  <c r="H67" i="6" s="1"/>
  <c r="D2" i="6" s="1"/>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<sst xmlns="http://schemas.openxmlformats.org/spreadsheetml/2006/main" count="21650" uniqueCount="15518">
  <si>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</si>
  <si>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</si>
  <si>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</si>
  <si>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</si>
  <si>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</si>
  <si>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</si>
  <si>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</si>
  <si>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</si>
  <si>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</si>
  <si>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</si>
  <si>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</si>
  <si>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</si>
  <si>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</si>
  <si>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</si>
  <si>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</si>
  <si>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</si>
  <si>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</si>
  <si>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</si>
  <si>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</si>
  <si>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</si>
  <si>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</si>
  <si>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</si>
  <si>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</si>
  <si>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</si>
  <si>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</si>
  <si>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</si>
  <si>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</si>
  <si>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</si>
  <si>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</si>
  <si>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</si>
  <si>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</si>
  <si>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</si>
  <si>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</si>
  <si>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</si>
  <si>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</si>
  <si>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</si>
  <si>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</si>
  <si>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</si>
  <si>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</si>
  <si>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</si>
  <si>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</si>
  <si>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</si>
  <si>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</si>
  <si>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</si>
  <si>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</si>
  <si>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</si>
  <si>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</si>
  <si>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</si>
  <si>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</si>
  <si>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</si>
  <si>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</si>
  <si>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</si>
  <si>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</si>
  <si>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</si>
  <si>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</si>
  <si>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</si>
  <si>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</si>
  <si>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</si>
  <si>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</si>
  <si>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</si>
  <si>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</si>
  <si>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</si>
  <si>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</si>
  <si>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</si>
  <si>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</si>
  <si>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</si>
  <si>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</si>
  <si>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</si>
  <si>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</si>
  <si>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</si>
  <si>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</si>
  <si>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</si>
  <si>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</si>
  <si>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</si>
  <si>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</si>
  <si>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</si>
  <si>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</si>
  <si>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</si>
  <si>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</si>
  <si>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</si>
  <si>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</si>
  <si>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</si>
  <si>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</si>
  <si>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</si>
  <si>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</si>
  <si>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</si>
  <si>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</si>
  <si>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</si>
  <si>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</si>
  <si>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</si>
  <si>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</si>
  <si>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</si>
  <si>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</si>
  <si>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</si>
  <si>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</si>
  <si>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</si>
  <si>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</si>
  <si>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</si>
  <si>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</si>
  <si>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</si>
  <si>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</si>
  <si>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</si>
  <si>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</si>
  <si>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</si>
  <si>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</si>
  <si>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</si>
  <si>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</si>
  <si>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</si>
  <si>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</si>
  <si>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</si>
  <si>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</si>
  <si>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</si>
  <si>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</si>
  <si>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</si>
  <si>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</si>
  <si>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</si>
  <si>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</si>
  <si>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</si>
  <si>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</si>
  <si>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</si>
  <si>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</si>
  <si>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</si>
  <si>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</si>
  <si>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</si>
  <si>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</si>
  <si>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</si>
  <si>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</si>
  <si>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</si>
  <si>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</si>
  <si>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</si>
  <si>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</si>
  <si>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</si>
  <si>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</si>
  <si>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</si>
  <si>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</si>
  <si>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</si>
  <si>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</si>
  <si>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</si>
  <si>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</si>
  <si>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</si>
  <si>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</si>
  <si>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</si>
  <si>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</si>
  <si>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</si>
  <si>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</si>
  <si>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</si>
  <si>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</si>
  <si>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</si>
  <si>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</si>
  <si>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</si>
  <si>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</si>
  <si>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</si>
  <si>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</si>
  <si>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</si>
  <si>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</si>
  <si>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</si>
  <si>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</si>
  <si>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</si>
  <si>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</si>
  <si>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</si>
  <si>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</si>
  <si>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</si>
  <si>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</si>
  <si>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</si>
  <si>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</si>
  <si>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</si>
  <si>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</si>
  <si>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</si>
  <si>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</si>
  <si>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</si>
  <si>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</si>
  <si>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</si>
  <si>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</si>
  <si>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</si>
  <si>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</si>
  <si>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</si>
  <si>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</si>
  <si>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</si>
  <si>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</si>
  <si>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</si>
  <si>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</si>
  <si>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</si>
  <si>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</si>
  <si>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</si>
  <si>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</si>
  <si>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</si>
  <si>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</si>
  <si>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</si>
  <si>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</si>
  <si>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</si>
  <si>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</si>
  <si>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</si>
  <si>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</si>
  <si>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</si>
  <si>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</si>
  <si>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</si>
  <si>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</si>
  <si>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</si>
  <si>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</si>
  <si>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</si>
  <si>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</si>
  <si>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</si>
  <si>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</si>
  <si>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</si>
  <si>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</si>
  <si>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</si>
  <si>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</si>
  <si>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</si>
  <si>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</si>
  <si>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</si>
  <si>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</si>
  <si>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</si>
  <si>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</si>
  <si>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</si>
  <si>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</si>
  <si>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</si>
  <si>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</si>
  <si>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</si>
  <si>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</si>
  <si>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</si>
  <si>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</si>
  <si>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</si>
  <si>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</si>
  <si>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</si>
  <si>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</si>
  <si>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</si>
  <si>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</si>
  <si>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</si>
  <si>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</si>
  <si>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</si>
  <si>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</si>
  <si>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</si>
  <si>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</si>
  <si>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</si>
  <si>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</si>
  <si>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</si>
  <si>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</si>
  <si>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</si>
  <si>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</si>
  <si>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</si>
  <si>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</si>
  <si>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</si>
  <si>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</si>
  <si>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</si>
  <si>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</si>
  <si>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</si>
  <si>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</si>
  <si>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</si>
  <si>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</si>
  <si>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</si>
  <si>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</si>
  <si>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</si>
  <si>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</si>
  <si>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</si>
  <si>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</si>
  <si>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</si>
  <si>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</si>
  <si>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</si>
  <si>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</si>
  <si>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</si>
  <si>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</si>
  <si>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</si>
  <si>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</si>
  <si>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</si>
  <si>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</si>
  <si>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</si>
  <si>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</si>
  <si>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</si>
  <si>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</si>
  <si>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</si>
  <si>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</si>
  <si>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</si>
  <si>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</si>
  <si>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</si>
  <si>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</si>
  <si>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</si>
  <si>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</si>
  <si>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</si>
  <si>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</si>
  <si>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</si>
  <si>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</si>
  <si>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</si>
  <si>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</si>
  <si>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</si>
  <si>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</si>
  <si>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</si>
  <si>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</si>
  <si>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</si>
  <si>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</si>
  <si>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</si>
  <si>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</si>
  <si>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</si>
  <si>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</si>
  <si>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</si>
  <si>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</si>
  <si>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</si>
  <si>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</si>
  <si>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</si>
  <si>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</si>
  <si>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</si>
  <si>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</si>
  <si>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</si>
  <si>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</si>
  <si>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</si>
  <si>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</si>
  <si>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</si>
  <si>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</si>
  <si>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</si>
  <si>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</si>
  <si>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</si>
  <si>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</si>
  <si>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</si>
  <si>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</si>
  <si>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</si>
  <si>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</si>
  <si>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</si>
  <si>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</si>
  <si>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</si>
  <si>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</si>
  <si>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</si>
  <si>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</si>
  <si>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</si>
  <si>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</si>
  <si>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</si>
  <si>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</si>
  <si>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</si>
  <si>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</si>
  <si>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</si>
  <si>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</si>
  <si>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</si>
  <si>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</si>
  <si>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</si>
  <si>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</si>
  <si>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</si>
  <si>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</si>
  <si>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</si>
  <si>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</si>
  <si>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</si>
  <si>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</si>
  <si>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</si>
  <si>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</si>
  <si>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</si>
  <si>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</si>
  <si>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</si>
  <si>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</si>
  <si>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</si>
  <si>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</si>
  <si>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</si>
  <si>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</si>
  <si>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</si>
  <si>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</si>
  <si>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</si>
  <si>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</si>
  <si>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</si>
  <si>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</si>
  <si>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</si>
  <si>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</si>
  <si>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</si>
  <si>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</si>
  <si>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</si>
  <si>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</si>
  <si>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</si>
  <si>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</si>
  <si>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</si>
  <si>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</si>
  <si>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</si>
  <si>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</si>
  <si>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</si>
  <si>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</si>
  <si>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</si>
  <si>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</si>
  <si>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</si>
  <si>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</si>
  <si>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</si>
  <si>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</si>
  <si>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</si>
  <si>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</si>
  <si>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</si>
  <si>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</si>
  <si>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</si>
  <si>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</si>
  <si>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</si>
  <si>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</si>
  <si>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</si>
  <si>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</si>
  <si>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</si>
  <si>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</si>
  <si>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</si>
  <si>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</si>
  <si>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</si>
  <si>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</si>
  <si>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</si>
  <si>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</si>
  <si>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</si>
  <si>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</si>
  <si>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</si>
  <si>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</si>
  <si>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</si>
  <si>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</si>
  <si>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</si>
  <si>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</si>
  <si>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</si>
  <si>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</si>
  <si>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</si>
  <si>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</si>
  <si>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</si>
  <si>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</si>
  <si>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</si>
  <si>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</si>
  <si>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</si>
  <si>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</si>
  <si>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</si>
  <si>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</si>
  <si>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</si>
  <si>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</si>
  <si>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</si>
  <si>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</si>
  <si>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</si>
  <si>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</si>
  <si>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</si>
  <si>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</si>
  <si>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</si>
  <si>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</si>
  <si>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</si>
  <si>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</si>
  <si>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</si>
  <si>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</si>
  <si>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</si>
  <si>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</si>
  <si>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</si>
  <si>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</si>
  <si>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</si>
  <si>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</si>
  <si>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</si>
  <si>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</si>
  <si>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</si>
  <si>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</si>
  <si>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</si>
  <si>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</si>
  <si>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</si>
  <si>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</si>
  <si>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</si>
  <si>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</si>
  <si>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</si>
  <si>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</si>
  <si>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</si>
  <si>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</si>
  <si>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</si>
  <si>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</si>
  <si>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</si>
  <si>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</si>
  <si>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</si>
  <si>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</si>
  <si>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</si>
  <si>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</si>
  <si>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</si>
  <si>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</si>
  <si>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</si>
  <si>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</si>
  <si>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</si>
  <si>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</si>
  <si>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</si>
  <si>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</si>
  <si>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</si>
  <si>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</si>
  <si>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</si>
  <si>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</si>
  <si>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</si>
  <si>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</si>
  <si>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</si>
  <si>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</si>
  <si>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</si>
  <si>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</si>
  <si>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</si>
  <si>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</si>
  <si>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</si>
  <si>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</si>
  <si>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</si>
  <si>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</si>
  <si>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</si>
  <si>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</si>
  <si>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</si>
  <si>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</si>
  <si>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</si>
  <si>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</si>
  <si>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</si>
  <si>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</si>
  <si>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</si>
  <si>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</si>
  <si>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</si>
  <si>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</si>
  <si>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</si>
  <si>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</si>
  <si>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</si>
  <si>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</si>
  <si>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</si>
  <si>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</si>
  <si>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</si>
  <si>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</si>
  <si>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</si>
  <si>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</si>
  <si>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</si>
  <si>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</si>
  <si>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</si>
  <si>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</si>
  <si>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</si>
  <si>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</si>
  <si>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</si>
  <si>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</si>
  <si>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</si>
  <si>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</si>
  <si>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</si>
  <si>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</si>
  <si>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</si>
  <si>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</si>
  <si>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</si>
  <si>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</si>
  <si>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</si>
  <si>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</si>
  <si>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</si>
  <si>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</si>
  <si>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</si>
  <si>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</si>
  <si>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</si>
  <si>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</si>
  <si>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</si>
  <si>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</si>
  <si>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</si>
  <si>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</si>
  <si>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</si>
  <si>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</si>
  <si>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</si>
  <si>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</si>
  <si>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</si>
  <si>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</si>
  <si>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</si>
  <si>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</si>
  <si>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</si>
  <si>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</si>
  <si>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</si>
  <si>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</si>
  <si>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</si>
  <si>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</si>
  <si>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</si>
  <si>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</si>
  <si>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</si>
  <si>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</si>
  <si>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</si>
  <si>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</si>
  <si>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</si>
  <si>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</si>
  <si>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</si>
  <si>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</si>
  <si>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</si>
  <si>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</si>
  <si>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</si>
  <si>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</si>
  <si>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</si>
  <si>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</si>
  <si>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</si>
  <si>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</si>
  <si>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</si>
  <si>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</si>
  <si>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</si>
  <si>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</si>
  <si>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</si>
  <si>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</si>
  <si>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</si>
  <si>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</si>
  <si>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</si>
  <si>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</si>
  <si>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</si>
  <si>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</si>
  <si>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</si>
  <si>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</si>
  <si>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</si>
  <si>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</si>
  <si>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</si>
  <si>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</si>
  <si>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</si>
  <si>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</si>
  <si>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</si>
  <si>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</si>
  <si>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</si>
  <si>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</si>
  <si>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</si>
  <si>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</si>
  <si>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</si>
  <si>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</si>
  <si>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</si>
  <si>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</si>
  <si>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</si>
  <si>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</si>
  <si>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</si>
  <si>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</si>
  <si>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</si>
  <si>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</si>
  <si>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</si>
  <si>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</si>
  <si>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</si>
  <si>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</si>
  <si>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</si>
  <si>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</si>
  <si>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</si>
  <si>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</si>
  <si>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</si>
  <si>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</si>
  <si>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</si>
  <si>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</si>
  <si>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</si>
  <si>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</si>
  <si>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</si>
  <si>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</si>
  <si>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</si>
  <si>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</si>
  <si>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</si>
  <si>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</si>
  <si>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</si>
  <si>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</si>
  <si>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</si>
  <si>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</si>
  <si>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</si>
  <si>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</si>
  <si>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</si>
  <si>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</si>
  <si>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</si>
  <si>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</si>
  <si>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</si>
  <si>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</si>
  <si>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</si>
  <si>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</si>
  <si>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</si>
  <si>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</si>
  <si>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</si>
  <si>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</si>
  <si>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</si>
  <si>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</si>
  <si>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</si>
  <si>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</si>
  <si>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</si>
  <si>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</si>
  <si>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</si>
  <si>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</si>
  <si>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</si>
  <si>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</si>
  <si>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</si>
  <si>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</si>
  <si>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</si>
  <si>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</si>
  <si>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</si>
  <si>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</si>
  <si>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</si>
  <si>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</si>
  <si>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</si>
  <si>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</si>
  <si>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</si>
  <si>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</si>
  <si>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</si>
  <si>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</si>
  <si>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</si>
  <si>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</si>
  <si>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</si>
  <si>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</si>
  <si>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</si>
  <si>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</si>
  <si>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</si>
  <si>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</si>
  <si>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</si>
  <si>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</si>
  <si>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</si>
  <si>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</si>
  <si>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</si>
  <si>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</si>
  <si>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</si>
  <si>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</si>
  <si>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</si>
  <si>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</si>
  <si>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</si>
  <si>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</si>
  <si>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</si>
  <si>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</si>
  <si>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</si>
  <si>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</si>
  <si>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</si>
  <si>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</si>
  <si>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</si>
  <si>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</si>
  <si>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</si>
  <si>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</si>
  <si>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</si>
  <si>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</si>
  <si>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</si>
  <si>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</si>
  <si>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</si>
  <si>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</si>
  <si>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</si>
  <si>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</si>
  <si>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</si>
  <si>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</si>
  <si>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</si>
  <si>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</si>
  <si>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</si>
  <si>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</si>
  <si>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</si>
  <si>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</si>
  <si>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</si>
  <si>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</si>
  <si>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</si>
  <si>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</si>
  <si>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</si>
  <si>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</si>
  <si>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</si>
  <si>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</si>
  <si>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</si>
  <si>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</si>
  <si>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</si>
  <si>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</si>
  <si>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</si>
  <si>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</si>
  <si>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</si>
  <si>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</si>
  <si>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</si>
  <si>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</si>
  <si>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</si>
  <si>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</si>
  <si>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</si>
  <si>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</si>
  <si>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</si>
  <si>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</si>
  <si>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</si>
  <si>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</si>
  <si>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</si>
  <si>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</si>
  <si>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</si>
  <si>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</si>
  <si>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</si>
  <si>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</si>
  <si>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</si>
  <si>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</si>
  <si>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</si>
  <si>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</si>
  <si>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</si>
  <si>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</si>
  <si>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</si>
  <si>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</si>
  <si>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</si>
  <si>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</si>
  <si>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</si>
  <si>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</si>
  <si>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</si>
  <si>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</si>
  <si>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</si>
  <si>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</si>
  <si>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</si>
  <si>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</si>
  <si>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</si>
  <si>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</si>
  <si>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</si>
  <si>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</si>
  <si>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</si>
  <si>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</si>
  <si>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</si>
  <si>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</si>
  <si>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</si>
  <si>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</si>
  <si>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</si>
  <si>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</si>
  <si>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</si>
  <si>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</si>
  <si>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</si>
  <si>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</si>
  <si>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</si>
  <si>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</si>
  <si>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</si>
  <si>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</si>
  <si>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</si>
  <si>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</si>
  <si>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</si>
  <si>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</si>
  <si>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</si>
  <si>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</si>
  <si>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</si>
  <si>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</si>
  <si>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</si>
  <si>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</si>
  <si>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</si>
  <si>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</si>
  <si>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</si>
  <si>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</si>
  <si>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</si>
  <si>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</si>
  <si>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</si>
  <si>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</si>
  <si>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</si>
  <si>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</si>
  <si>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</si>
  <si>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</si>
  <si>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</si>
  <si>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</si>
  <si>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</si>
  <si>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</si>
  <si>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</si>
  <si>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</si>
  <si>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</si>
  <si>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</si>
  <si>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</si>
  <si>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</si>
  <si>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</si>
  <si>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</si>
  <si>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</si>
  <si>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</si>
  <si>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</si>
  <si>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</si>
  <si>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</si>
  <si>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</si>
  <si>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</si>
  <si>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</si>
  <si>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</si>
  <si>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</si>
  <si>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</si>
  <si>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</si>
  <si>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</si>
  <si>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</si>
  <si>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</si>
  <si>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</si>
  <si>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</si>
  <si>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</si>
  <si>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</si>
  <si>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</si>
  <si>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</si>
  <si>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</si>
  <si>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</si>
  <si>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</si>
  <si>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</si>
  <si>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</si>
  <si>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</si>
  <si>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</si>
  <si>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</si>
  <si>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</si>
  <si>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</si>
  <si>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</si>
  <si>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</si>
  <si>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</si>
  <si>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</si>
  <si>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</si>
  <si>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</si>
  <si>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</si>
  <si>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</si>
  <si>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</si>
  <si>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</si>
  <si>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</si>
  <si>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</si>
  <si>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</si>
  <si>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</si>
  <si>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</si>
  <si>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</si>
  <si>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</si>
  <si>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</si>
  <si>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</si>
  <si>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</si>
  <si>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</si>
  <si>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</si>
  <si>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</si>
  <si>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</si>
  <si>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</si>
  <si>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</si>
  <si>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</si>
  <si>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</si>
  <si>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</si>
  <si>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</si>
  <si>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</si>
  <si>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</si>
  <si>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</si>
  <si>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</si>
  <si>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</si>
  <si>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</si>
  <si>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</si>
  <si>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</si>
  <si>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</si>
  <si>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</si>
  <si>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</si>
  <si>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</si>
  <si>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</si>
  <si>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</si>
  <si>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</si>
  <si>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</si>
  <si>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</si>
  <si>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</si>
  <si>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</si>
  <si>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</si>
  <si>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</si>
  <si>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</si>
  <si>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</si>
  <si>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</si>
  <si>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</si>
  <si>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</si>
  <si>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</si>
  <si>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</si>
  <si>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</si>
  <si>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</si>
  <si>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</si>
  <si>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</si>
  <si>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</si>
  <si>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</si>
  <si>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</si>
  <si>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</si>
  <si>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</si>
  <si>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</si>
  <si>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</si>
  <si>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</si>
  <si>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</si>
  <si>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</si>
  <si>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</si>
  <si>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</si>
  <si>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</si>
  <si>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</si>
  <si>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</si>
  <si>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</si>
  <si>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</si>
  <si>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</si>
  <si>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</si>
  <si>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</si>
  <si>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</si>
  <si>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</si>
  <si>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</si>
  <si>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</si>
  <si>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</si>
  <si>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</si>
  <si>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</si>
  <si>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</si>
  <si>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</si>
  <si>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</si>
  <si>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</si>
  <si>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</si>
  <si>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</si>
  <si>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</si>
  <si>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</si>
  <si>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</si>
  <si>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</si>
  <si>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</si>
  <si>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</si>
  <si>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</si>
  <si>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</si>
  <si>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</si>
  <si>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</si>
  <si>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</si>
  <si>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</si>
  <si>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</si>
  <si>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</si>
  <si>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</si>
  <si>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</si>
  <si>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</si>
  <si>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</si>
  <si>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</si>
  <si>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</si>
  <si>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</si>
  <si>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</si>
  <si>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</si>
  <si>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</si>
  <si>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</si>
  <si>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</si>
  <si>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</si>
  <si>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</si>
  <si>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</si>
  <si>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</si>
  <si>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</si>
  <si>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</si>
  <si>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</si>
  <si>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</si>
  <si>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</si>
  <si>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</si>
  <si>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</si>
  <si>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</si>
  <si>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</si>
  <si>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</si>
  <si>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</si>
  <si>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</si>
  <si>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</si>
  <si>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</si>
  <si>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</si>
  <si>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</si>
  <si>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</si>
  <si>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</si>
  <si>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</si>
  <si>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</si>
  <si>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</si>
  <si>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</si>
  <si>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</si>
  <si>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</si>
  <si>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</si>
  <si>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</si>
  <si>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</si>
  <si>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</si>
  <si>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</si>
  <si>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</si>
  <si>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</si>
  <si>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</si>
  <si>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</si>
  <si>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</si>
  <si>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</si>
  <si>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</si>
  <si>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</si>
  <si>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</si>
  <si>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</si>
  <si>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</si>
  <si>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</si>
  <si>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</si>
  <si>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</si>
  <si>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</si>
  <si>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</si>
  <si>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</si>
  <si>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</si>
  <si>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</si>
  <si>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</si>
  <si>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</si>
  <si>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</si>
  <si>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</si>
  <si>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</si>
  <si>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</si>
  <si>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</si>
  <si>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</si>
  <si>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</si>
  <si>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</si>
  <si>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</si>
  <si>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</si>
  <si>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</si>
  <si>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</si>
  <si>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</si>
  <si>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</si>
  <si>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</si>
  <si>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</si>
  <si>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</si>
  <si>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</si>
  <si>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</si>
  <si>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</si>
  <si>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</si>
  <si>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</si>
  <si>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</si>
  <si>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</si>
  <si>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</si>
  <si>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</si>
  <si>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</si>
  <si>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</si>
  <si>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</si>
  <si>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</si>
  <si>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</si>
  <si>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</si>
  <si>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</si>
  <si>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</si>
  <si>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</si>
  <si>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</si>
  <si>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</si>
  <si>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</si>
  <si>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</si>
  <si>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</si>
  <si>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</si>
  <si>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</si>
  <si>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</si>
  <si>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</si>
  <si>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</si>
  <si>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</si>
  <si>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</si>
  <si>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</si>
  <si>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</si>
  <si>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</si>
  <si>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</si>
  <si>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</si>
  <si>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</si>
  <si>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</si>
  <si>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</si>
  <si>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</si>
  <si>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</si>
  <si>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</si>
  <si>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</si>
  <si>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</si>
  <si>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</si>
  <si>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</si>
  <si>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</si>
  <si>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</si>
  <si>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</si>
  <si>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</si>
  <si>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</si>
  <si>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</si>
  <si>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</si>
  <si>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</si>
  <si>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</si>
  <si>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</si>
  <si>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</si>
  <si>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</si>
  <si>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</si>
  <si>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</si>
  <si>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</si>
  <si>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</si>
  <si>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</si>
  <si>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</si>
  <si>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</si>
  <si>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</si>
  <si>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</si>
  <si>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</si>
  <si>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</si>
  <si>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</si>
  <si>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</si>
  <si>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</si>
  <si>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</si>
  <si>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</si>
  <si>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</si>
  <si>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</si>
  <si>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</si>
  <si>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</si>
  <si>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</si>
  <si>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</si>
  <si>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</si>
  <si>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</si>
  <si>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</si>
  <si>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</si>
  <si>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</si>
  <si>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</si>
  <si>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</si>
  <si>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</si>
  <si>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</si>
  <si>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</si>
  <si>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</si>
  <si>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</si>
  <si>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</si>
  <si>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</si>
  <si>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</si>
  <si>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</si>
  <si>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</si>
  <si>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</si>
  <si>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</si>
  <si>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</si>
  <si>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</si>
  <si>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</si>
  <si>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</si>
  <si>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</si>
  <si>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</si>
  <si>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</si>
  <si>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</si>
  <si>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</si>
  <si>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</si>
  <si>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</si>
  <si>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</si>
  <si>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</si>
  <si>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</si>
  <si>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</si>
  <si>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</si>
  <si>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</si>
  <si>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</si>
  <si>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</si>
  <si>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</si>
  <si>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</si>
  <si>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</si>
  <si>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</si>
  <si>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</si>
  <si>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</si>
  <si>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</si>
  <si>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</si>
  <si>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</si>
  <si>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</si>
  <si>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</si>
  <si>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</si>
  <si>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</si>
  <si>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</si>
  <si>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</si>
  <si>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</si>
  <si>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</si>
  <si>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</si>
  <si>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</si>
  <si>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</si>
  <si>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</si>
  <si>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</si>
  <si>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</si>
  <si>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</si>
  <si>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</si>
  <si>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</si>
  <si>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</si>
  <si>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</si>
  <si>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</si>
  <si>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</si>
  <si>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</si>
  <si>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</si>
  <si>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</si>
  <si>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</si>
  <si>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</si>
  <si>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</si>
  <si>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</si>
  <si>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</si>
  <si>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</si>
  <si>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</si>
  <si>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</si>
  <si>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</si>
  <si>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</si>
  <si>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</si>
  <si>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</si>
  <si>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</si>
  <si>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</si>
  <si>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</si>
  <si>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</si>
  <si>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</si>
  <si>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</si>
  <si>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</si>
  <si>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</si>
  <si>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</si>
  <si>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</si>
  <si>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</si>
  <si>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</si>
  <si>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</si>
  <si>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</si>
  <si>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</si>
  <si>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</si>
  <si>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</si>
  <si>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</si>
  <si>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</si>
  <si>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</si>
  <si>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</si>
  <si>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</si>
  <si>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</si>
  <si>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</si>
  <si>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</si>
  <si>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</si>
  <si>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</si>
  <si>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</si>
  <si>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</si>
  <si>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</si>
  <si>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</si>
  <si>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</si>
  <si>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</si>
  <si>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</si>
  <si>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</si>
  <si>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</si>
  <si>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</si>
  <si>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</si>
  <si>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</si>
  <si>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</si>
  <si>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</si>
  <si>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</si>
  <si>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</si>
  <si>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</si>
  <si>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</si>
  <si>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</si>
  <si>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</si>
  <si>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</si>
  <si>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</si>
  <si>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</si>
  <si>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</si>
  <si>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</si>
  <si>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</si>
  <si>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</si>
  <si>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</si>
  <si>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</si>
  <si>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</si>
  <si>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</si>
  <si>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</si>
  <si>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</si>
  <si>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</si>
  <si>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</si>
  <si>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</si>
  <si>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</si>
  <si>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</si>
  <si>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</si>
  <si>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</si>
  <si>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</si>
  <si>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</si>
  <si>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</si>
  <si>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</si>
  <si>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</si>
  <si>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</si>
  <si>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</si>
  <si>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</si>
  <si>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</si>
  <si>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</si>
  <si>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</si>
  <si>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</si>
  <si>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</si>
  <si>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</si>
  <si>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</si>
  <si>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</si>
  <si>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</si>
  <si>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</si>
  <si>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</si>
  <si>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</si>
  <si>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</si>
  <si>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</si>
  <si>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</si>
  <si>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</si>
  <si>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</si>
  <si>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</si>
  <si>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</si>
  <si>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</si>
  <si>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</si>
  <si>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</si>
  <si>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</si>
  <si>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</si>
  <si>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</si>
  <si>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</si>
  <si>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</si>
  <si>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</si>
  <si>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</si>
  <si>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</si>
  <si>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</si>
  <si>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</si>
  <si>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</si>
  <si>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</si>
  <si>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</si>
  <si>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</si>
  <si>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</si>
  <si>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</si>
  <si>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</si>
  <si>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</si>
  <si>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</si>
  <si>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</si>
  <si>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</si>
  <si>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</si>
  <si>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</si>
  <si>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</si>
  <si>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</si>
  <si>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</si>
  <si>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</si>
  <si>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</si>
  <si>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</si>
  <si>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</si>
  <si>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</si>
  <si>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</si>
  <si>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</si>
  <si>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</si>
  <si>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</si>
  <si>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</si>
  <si>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</si>
  <si>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</si>
  <si>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</si>
  <si>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</si>
  <si>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</si>
  <si>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</si>
  <si>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</si>
  <si>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</si>
  <si>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</si>
  <si>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</si>
  <si>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</si>
  <si>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</si>
  <si>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</si>
  <si>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</si>
  <si>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</si>
  <si>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</si>
  <si>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</si>
  <si>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</si>
  <si>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</si>
  <si>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</si>
  <si>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</si>
  <si>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</si>
  <si>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</si>
  <si>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</si>
  <si>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</si>
  <si>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</si>
  <si>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</si>
  <si>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</si>
  <si>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</si>
  <si>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</si>
  <si>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</si>
  <si>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</si>
  <si>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</si>
  <si>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</si>
  <si>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</si>
  <si>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</si>
  <si>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</si>
  <si>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</si>
  <si>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</si>
  <si>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</si>
  <si>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</si>
  <si>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</si>
  <si>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</si>
  <si>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</si>
  <si>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</si>
  <si>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</si>
  <si>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</si>
  <si>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</si>
  <si>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</si>
  <si>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</si>
  <si>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</si>
  <si>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</si>
  <si>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</si>
  <si>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</si>
  <si>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</si>
  <si>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</si>
  <si>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</si>
  <si>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</si>
  <si>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</si>
  <si>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</si>
  <si>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</si>
  <si>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</si>
  <si>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</si>
  <si>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</si>
  <si>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</si>
  <si>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</si>
  <si>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</si>
  <si>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</si>
  <si>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</si>
  <si>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</si>
  <si>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</si>
  <si>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</si>
  <si>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</si>
  <si>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</si>
  <si>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</si>
  <si>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</si>
  <si>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</si>
  <si>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</si>
  <si>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</si>
  <si>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</si>
  <si>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</si>
  <si>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</si>
  <si>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</si>
  <si>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</si>
  <si>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</si>
  <si>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</si>
  <si>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</si>
  <si>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</si>
  <si>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</si>
  <si>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</si>
  <si>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</si>
  <si>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</si>
  <si>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</si>
  <si>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</si>
  <si>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</si>
  <si>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</si>
  <si>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</si>
  <si>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</si>
  <si>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</si>
  <si>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</si>
  <si>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</si>
  <si>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</si>
  <si>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</si>
  <si>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</si>
  <si>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</si>
  <si>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</si>
  <si>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</si>
  <si>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</si>
  <si>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</si>
  <si>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</si>
  <si>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</si>
  <si>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</si>
  <si>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</si>
  <si>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</si>
  <si>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</si>
  <si>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</si>
  <si>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</si>
  <si>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</si>
  <si>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</si>
  <si>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</si>
  <si>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</si>
  <si>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</si>
  <si>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</si>
  <si>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</si>
  <si>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</si>
  <si>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</si>
  <si>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</si>
  <si>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</si>
  <si>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</si>
  <si>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</si>
  <si>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</si>
  <si>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</si>
  <si>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</si>
  <si>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</si>
  <si>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</si>
  <si>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</si>
  <si>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</si>
  <si>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</si>
  <si>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</si>
  <si>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</si>
  <si>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</si>
  <si>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</si>
  <si>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</si>
  <si>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</si>
  <si>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</si>
  <si>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</si>
  <si>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</si>
  <si>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</si>
  <si>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</si>
  <si>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</si>
  <si>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</si>
  <si>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</si>
  <si>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</si>
  <si>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</si>
  <si>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</si>
  <si>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</si>
  <si>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</si>
  <si>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</si>
  <si>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</si>
  <si>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</si>
  <si>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</si>
  <si>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</si>
  <si>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</si>
  <si>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</si>
  <si>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</si>
  <si>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</si>
  <si>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</si>
  <si>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</si>
  <si>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</si>
  <si>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</si>
  <si>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</si>
  <si>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</si>
  <si>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</si>
  <si>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</si>
  <si>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</si>
  <si>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</si>
  <si>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</si>
  <si>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</si>
  <si>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</si>
  <si>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</si>
  <si>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</si>
  <si>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</si>
  <si>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</si>
  <si>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</si>
  <si>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</si>
  <si>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</si>
  <si>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</si>
  <si>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</si>
  <si>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</si>
  <si>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</si>
  <si>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</si>
  <si>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</si>
  <si>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</si>
  <si>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</si>
  <si>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</si>
  <si>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</si>
  <si>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</si>
  <si>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</si>
  <si>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</si>
  <si>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</si>
  <si>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</si>
  <si>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</si>
  <si>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</si>
  <si>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</si>
  <si>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</si>
  <si>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</si>
  <si>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</si>
  <si>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</si>
  <si>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</si>
  <si>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</si>
  <si>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</si>
  <si>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</si>
  <si>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</si>
  <si>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</si>
  <si>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</si>
  <si>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</si>
  <si>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</si>
  <si>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</si>
  <si>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</si>
  <si>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</si>
  <si>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</si>
  <si>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</si>
  <si>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</si>
  <si>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</si>
  <si>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</si>
  <si>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</si>
  <si>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</si>
  <si>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</si>
  <si>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</si>
  <si>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</si>
  <si>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</si>
  <si>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</si>
  <si>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</si>
  <si>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</si>
  <si>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</si>
  <si>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</si>
  <si>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</si>
  <si>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</si>
  <si>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</si>
  <si>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</si>
  <si>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</si>
  <si>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</si>
  <si>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</si>
  <si>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</si>
  <si>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</si>
  <si>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</si>
  <si>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</si>
  <si>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</si>
  <si>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</si>
  <si>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</si>
  <si>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</si>
  <si>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</si>
  <si>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</si>
  <si>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</si>
  <si>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</si>
  <si>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</si>
  <si>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</si>
  <si>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</si>
  <si>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</si>
  <si>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</si>
  <si>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</si>
  <si>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</si>
  <si>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</si>
  <si>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</si>
  <si>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</si>
  <si>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</si>
  <si>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</si>
  <si>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</si>
  <si>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</si>
  <si>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</si>
  <si>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</si>
  <si>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</si>
  <si>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</si>
  <si>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</si>
  <si>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</si>
  <si>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</si>
  <si>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</si>
  <si>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</si>
  <si>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</si>
  <si>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</si>
  <si>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</si>
  <si>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</si>
  <si>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</si>
  <si>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</si>
  <si>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</si>
  <si>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</si>
  <si>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</si>
  <si>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</si>
  <si>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</si>
  <si>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</si>
  <si>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</si>
  <si>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</si>
  <si>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</si>
  <si>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</si>
  <si>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</si>
  <si>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</si>
  <si>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</si>
  <si>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</si>
  <si>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</si>
  <si>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</si>
  <si>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</si>
  <si>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</si>
  <si>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</si>
  <si>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</si>
  <si>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</si>
  <si>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</si>
  <si>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</si>
  <si>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</si>
  <si>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</si>
  <si>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</si>
  <si>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</si>
  <si>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</si>
  <si>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</si>
  <si>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</si>
  <si>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</si>
  <si>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</si>
  <si>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</si>
  <si>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</si>
  <si>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</si>
  <si>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</si>
  <si>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</si>
  <si>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</si>
  <si>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</si>
  <si>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</si>
  <si>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</si>
  <si>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</si>
  <si>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</si>
  <si>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</si>
  <si>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</si>
  <si>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</si>
  <si>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</si>
  <si>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</si>
  <si>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</si>
  <si>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</si>
  <si>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</si>
  <si>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</si>
  <si>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</si>
  <si>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</si>
  <si>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</si>
  <si>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</si>
  <si>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</si>
  <si>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</si>
  <si>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</si>
  <si>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</si>
  <si>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</si>
  <si>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</si>
  <si>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</si>
  <si>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</si>
  <si>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</si>
  <si>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</si>
  <si>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</si>
  <si>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</si>
  <si>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</si>
  <si>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</si>
  <si>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</si>
  <si>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</si>
  <si>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</si>
  <si>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</si>
  <si>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</si>
  <si>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</si>
  <si>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</si>
  <si>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</si>
  <si>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</si>
  <si>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</si>
  <si>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</si>
  <si>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</si>
  <si>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</si>
  <si>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</si>
  <si>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</si>
  <si>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</si>
  <si>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</si>
  <si>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</si>
  <si>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</si>
  <si>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</si>
  <si>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</si>
  <si>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</si>
  <si>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</si>
  <si>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</si>
  <si>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</si>
  <si>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</si>
  <si>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</si>
  <si>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</si>
  <si>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</si>
  <si>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</si>
  <si>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</si>
  <si>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</si>
  <si>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</si>
  <si>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</si>
  <si>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</si>
  <si>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</si>
  <si>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</si>
  <si>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</si>
  <si>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</si>
  <si>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</si>
  <si>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</si>
  <si>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</si>
  <si>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</si>
  <si>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</si>
  <si>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</si>
  <si>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</si>
  <si>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</si>
  <si>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</si>
  <si>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</si>
  <si>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</si>
  <si>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</si>
  <si>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</si>
  <si>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</si>
  <si>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</si>
  <si>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</si>
  <si>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</si>
  <si>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</si>
  <si>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</si>
  <si>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</si>
  <si>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</si>
  <si>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</si>
  <si>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</si>
  <si>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</si>
  <si>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</si>
  <si>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</si>
  <si>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</si>
  <si>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</si>
  <si>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</si>
  <si>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</si>
  <si>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</si>
  <si>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</si>
  <si>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</si>
  <si>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</si>
  <si>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</si>
  <si>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</si>
  <si>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</si>
  <si>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</si>
  <si>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</si>
  <si>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</si>
  <si>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</si>
  <si>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</si>
  <si>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</si>
  <si>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</si>
  <si>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</si>
  <si>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</si>
  <si>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</si>
  <si>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</si>
  <si>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</si>
  <si>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</si>
  <si>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</si>
  <si>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</si>
  <si>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</si>
  <si>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</si>
  <si>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</si>
  <si>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</si>
  <si>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</si>
  <si>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</si>
  <si>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</si>
  <si>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</si>
  <si>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</si>
  <si>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</si>
  <si>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</si>
  <si>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</si>
  <si>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</si>
  <si>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</si>
  <si>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</si>
  <si>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</si>
  <si>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</si>
  <si>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</si>
  <si>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</si>
  <si>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</si>
  <si>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</si>
  <si>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</si>
  <si>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</si>
  <si>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</si>
  <si>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</si>
  <si>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</si>
  <si>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</si>
  <si>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</si>
  <si>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</si>
  <si>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</si>
  <si>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</si>
  <si>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</si>
  <si>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</si>
  <si>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</si>
  <si>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</si>
  <si>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</si>
  <si>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</si>
  <si>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</si>
  <si>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</si>
  <si>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</si>
  <si>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</si>
  <si>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</si>
  <si>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</si>
  <si>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</si>
  <si>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</si>
  <si>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</si>
  <si>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</si>
  <si>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</si>
  <si>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</si>
  <si>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</si>
  <si>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</si>
  <si>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</si>
  <si>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</si>
  <si>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</si>
  <si>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</si>
  <si>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</si>
  <si>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</si>
  <si>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</si>
  <si>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</si>
  <si>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</si>
  <si>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</si>
  <si>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</si>
  <si>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</si>
  <si>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</si>
  <si>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</si>
  <si>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</si>
  <si>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</si>
  <si>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</si>
  <si>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</si>
  <si>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</si>
  <si>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</si>
  <si>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</si>
  <si>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</si>
  <si>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</si>
  <si>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</si>
  <si>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</si>
  <si>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</si>
  <si>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</si>
  <si>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</si>
  <si>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</si>
  <si>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</si>
  <si>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</si>
  <si>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</si>
  <si>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</si>
  <si>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</si>
  <si>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</si>
  <si>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</si>
  <si>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</si>
  <si>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</si>
  <si>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</si>
  <si>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</si>
  <si>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</si>
  <si>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</si>
  <si>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</si>
  <si>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</si>
  <si>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</si>
  <si>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</si>
  <si>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</si>
  <si>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</si>
  <si>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</si>
  <si>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</si>
  <si>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</si>
  <si>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</si>
  <si>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</si>
  <si>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</si>
  <si>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</si>
  <si>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</si>
  <si>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</si>
  <si>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</si>
  <si>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</si>
  <si>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</si>
  <si>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</si>
  <si>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</si>
  <si>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</si>
  <si>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</si>
  <si>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</si>
  <si>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</si>
  <si>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</si>
  <si>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</si>
  <si>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</si>
  <si>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</si>
  <si>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</si>
  <si>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</si>
  <si>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</si>
  <si>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</si>
  <si>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</si>
  <si>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</si>
  <si>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</si>
  <si>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</si>
  <si>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</si>
  <si>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</si>
  <si>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</si>
  <si>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</si>
  <si>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</si>
  <si>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</si>
  <si>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</si>
  <si>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</si>
  <si>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</si>
  <si>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</si>
  <si>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</si>
  <si>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</si>
  <si>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</si>
  <si>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</si>
  <si>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</si>
  <si>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</si>
  <si>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</si>
  <si>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</si>
  <si>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</si>
  <si>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</si>
  <si>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</si>
  <si>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</si>
  <si>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</si>
  <si>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</si>
  <si>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</si>
  <si>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</si>
  <si>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</si>
  <si>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</si>
  <si>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</si>
  <si>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</si>
  <si>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</si>
  <si>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</si>
  <si>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</si>
  <si>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</si>
  <si>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</si>
  <si>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</si>
  <si>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</si>
  <si>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</si>
  <si>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</si>
  <si>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</si>
  <si>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</si>
  <si>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</si>
  <si>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</si>
  <si>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</si>
  <si>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</si>
  <si>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</si>
  <si>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</si>
  <si>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</si>
  <si>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</si>
  <si>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</si>
  <si>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</si>
  <si>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</si>
  <si>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</si>
  <si>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</si>
  <si>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</si>
  <si>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</si>
  <si>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</si>
  <si>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</si>
  <si>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</si>
  <si>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</si>
  <si>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</si>
  <si>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</si>
  <si>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</si>
  <si>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</si>
  <si>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</si>
  <si>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</si>
  <si>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</si>
  <si>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</si>
  <si>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</si>
  <si>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</si>
  <si>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</si>
  <si>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</si>
  <si>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</si>
  <si>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</si>
  <si>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</si>
  <si>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</si>
  <si>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</si>
  <si>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</si>
  <si>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</si>
  <si>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</si>
  <si>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</si>
  <si>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</si>
  <si>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</si>
  <si>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</si>
  <si>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</si>
  <si>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</si>
  <si>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</si>
  <si>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</si>
  <si>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</si>
  <si>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</si>
  <si>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</si>
  <si>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</si>
  <si>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</si>
  <si>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</si>
  <si>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</si>
  <si>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</si>
  <si>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</si>
  <si>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</si>
  <si>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</si>
  <si>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</si>
  <si>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</si>
  <si>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</si>
  <si>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</si>
  <si>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</si>
  <si>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</si>
  <si>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</si>
  <si>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</si>
  <si>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</si>
  <si>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</si>
  <si>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</si>
  <si>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</si>
  <si>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</si>
  <si>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</si>
  <si>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</si>
  <si>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</si>
  <si>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</si>
  <si>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</si>
  <si>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</si>
  <si>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</si>
  <si>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</si>
  <si>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</si>
  <si>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</si>
  <si>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</si>
  <si>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</si>
  <si>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</si>
  <si>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</si>
  <si>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</si>
  <si>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</si>
  <si>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</si>
  <si>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</si>
  <si>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</si>
  <si>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</si>
  <si>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</si>
  <si>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</si>
  <si>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</si>
  <si>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</si>
  <si>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</si>
  <si>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</si>
  <si>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</si>
  <si>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</si>
  <si>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</si>
  <si>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</si>
  <si>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</si>
  <si>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</si>
  <si>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</si>
  <si>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</si>
  <si>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</si>
  <si>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</si>
  <si>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</si>
  <si>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</si>
  <si>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</si>
  <si>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</si>
  <si>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</si>
  <si>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</si>
  <si>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</si>
  <si>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</si>
  <si>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</si>
  <si>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</si>
  <si>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</si>
  <si>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</si>
  <si>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</si>
  <si>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</si>
  <si>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</si>
  <si>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</si>
  <si>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</si>
  <si>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</si>
  <si>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</si>
  <si>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</si>
  <si>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</si>
  <si>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</si>
  <si>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</si>
  <si>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</si>
  <si>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</si>
  <si>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</si>
  <si>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</si>
  <si>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</si>
  <si>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</si>
  <si>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</si>
  <si>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</si>
  <si>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</si>
  <si>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</si>
  <si>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</si>
  <si>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</si>
  <si>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</si>
  <si>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</si>
  <si>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</si>
  <si>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</si>
  <si>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</si>
  <si>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</si>
  <si>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</si>
  <si>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</si>
  <si>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</si>
  <si>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</si>
  <si>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</si>
  <si>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</si>
  <si>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</si>
  <si>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</si>
  <si>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</si>
  <si>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</si>
  <si>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</si>
  <si>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</si>
  <si>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</si>
  <si>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</si>
  <si>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</si>
  <si>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</si>
  <si>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</si>
  <si>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</si>
  <si>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</si>
  <si>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</si>
  <si>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</si>
  <si>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</si>
  <si>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</si>
  <si>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</si>
  <si>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</si>
  <si>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</si>
  <si>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</si>
  <si>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</si>
  <si>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</si>
  <si>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</si>
  <si>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</si>
  <si>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</si>
  <si>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</si>
  <si>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</si>
  <si>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</si>
  <si>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</si>
  <si>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</si>
  <si>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</si>
  <si>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</si>
  <si>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</si>
  <si>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</si>
  <si>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</si>
  <si>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</si>
  <si>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</si>
  <si>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</si>
  <si>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</si>
  <si>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</si>
  <si>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</si>
  <si>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</si>
  <si>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</si>
  <si>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</si>
  <si>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</si>
  <si>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</si>
  <si>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</si>
  <si>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</si>
  <si>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</si>
  <si>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</si>
  <si>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</si>
  <si>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</si>
  <si>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</si>
  <si>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</si>
  <si>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</si>
  <si>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</si>
  <si>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</si>
  <si>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</si>
  <si>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</si>
  <si>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</si>
  <si>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</si>
  <si>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</si>
  <si>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</si>
  <si>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</si>
  <si>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</si>
  <si>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</si>
  <si>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</si>
  <si>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</si>
  <si>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</si>
  <si>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</si>
  <si>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</si>
  <si>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</si>
  <si>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</si>
  <si>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</si>
  <si>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</si>
  <si>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</si>
  <si>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</si>
  <si>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</si>
  <si>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</si>
  <si>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</si>
  <si>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</si>
  <si>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</si>
  <si>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</si>
  <si>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</si>
  <si>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</si>
  <si>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</si>
  <si>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</si>
  <si>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</si>
  <si>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</si>
  <si>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</si>
  <si>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</si>
  <si>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</si>
  <si>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</si>
  <si>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</si>
  <si>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</si>
  <si>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</si>
  <si>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</si>
  <si>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</si>
  <si>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</si>
  <si>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</si>
  <si>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</si>
  <si>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</si>
  <si>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</si>
  <si>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</si>
  <si>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</si>
  <si>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</si>
  <si>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</si>
  <si>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</si>
  <si>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</si>
  <si>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</si>
  <si>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</si>
  <si>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</si>
  <si>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</si>
  <si>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</si>
  <si>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</si>
  <si>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</si>
  <si>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</si>
  <si>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</si>
  <si>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</si>
  <si>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</si>
  <si>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</si>
  <si>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</si>
  <si>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</si>
  <si>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</si>
  <si>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</si>
  <si>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</si>
  <si>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</si>
  <si>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</si>
  <si>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</si>
  <si>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</si>
  <si>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</si>
  <si>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</si>
  <si>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</si>
  <si>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</si>
  <si>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</si>
  <si>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</si>
  <si>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</si>
  <si>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</si>
  <si>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</si>
  <si>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</si>
  <si>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</si>
  <si>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</si>
  <si>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</si>
  <si>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</si>
  <si>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</si>
  <si>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</si>
  <si>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</si>
  <si>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</si>
  <si>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</si>
  <si>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</si>
  <si>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</si>
  <si>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</si>
  <si>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</si>
  <si>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</si>
  <si>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</si>
  <si>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</si>
  <si>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</si>
  <si>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</si>
  <si>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</si>
  <si>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</si>
  <si>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</si>
  <si>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</si>
  <si>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</si>
  <si>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</si>
  <si>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</si>
  <si>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</si>
  <si>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</si>
  <si>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</si>
  <si>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</si>
  <si>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</si>
  <si>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</si>
  <si>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</si>
  <si>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</si>
  <si>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</si>
  <si>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</si>
  <si>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</si>
  <si>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</si>
  <si>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</si>
  <si>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</si>
  <si>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</si>
  <si>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</si>
  <si>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</si>
  <si>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</si>
  <si>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</si>
  <si>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</si>
  <si>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</si>
  <si>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</si>
  <si>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</si>
  <si>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</si>
  <si>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</si>
  <si>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</si>
  <si>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</si>
  <si>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</si>
  <si>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</si>
  <si>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</si>
  <si>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</si>
  <si>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</si>
  <si>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</si>
  <si>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</si>
  <si>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</si>
  <si>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</si>
  <si>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</si>
  <si>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</si>
  <si>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</si>
  <si>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</si>
  <si>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</si>
  <si>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</si>
  <si>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</si>
  <si>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</si>
  <si>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</si>
  <si>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</si>
  <si>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</si>
  <si>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</si>
  <si>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</si>
  <si>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</si>
  <si>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</si>
  <si>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</si>
  <si>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</si>
  <si>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</si>
  <si>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</si>
  <si>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</si>
  <si>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</si>
  <si>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</si>
  <si>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</si>
  <si>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</si>
  <si>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</si>
  <si>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</si>
  <si>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</si>
  <si>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</si>
  <si>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</si>
  <si>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</si>
  <si>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</si>
  <si>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</si>
  <si>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</si>
  <si>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</si>
  <si>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</si>
  <si>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</si>
  <si>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</si>
  <si>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</si>
  <si>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</si>
  <si>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</si>
  <si>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</si>
  <si>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</si>
  <si>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</si>
  <si>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</si>
  <si>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</si>
  <si>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</si>
  <si>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</si>
  <si>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</si>
  <si>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</si>
  <si>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</si>
  <si>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</si>
  <si>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</si>
  <si>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</si>
  <si>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</si>
  <si>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</si>
  <si>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</si>
  <si>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</si>
  <si>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</si>
  <si>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</si>
  <si>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</si>
  <si>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</si>
  <si>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</si>
  <si>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</si>
  <si>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</si>
  <si>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</si>
  <si>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</si>
  <si>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</si>
  <si>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</si>
  <si>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</si>
  <si>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</si>
  <si>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</si>
  <si>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</si>
  <si>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</si>
  <si>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</si>
  <si>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</si>
  <si>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</si>
  <si>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</si>
  <si>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</si>
  <si>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</si>
  <si>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</si>
  <si>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</si>
  <si>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</si>
  <si>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</si>
  <si>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</si>
  <si>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</si>
  <si>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</si>
  <si>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</si>
  <si>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</si>
  <si>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</si>
  <si>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</si>
  <si>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</si>
  <si>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</si>
  <si>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</si>
  <si>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</si>
  <si>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</si>
  <si>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</si>
  <si>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</si>
  <si>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</si>
  <si>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</si>
  <si>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</si>
  <si>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</si>
  <si>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</si>
  <si>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</si>
  <si>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</si>
  <si>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</si>
  <si>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</si>
  <si>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</si>
  <si>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</si>
  <si>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</si>
  <si>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</si>
  <si>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</si>
  <si>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</si>
  <si>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</si>
  <si>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</si>
  <si>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</si>
  <si>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</si>
  <si>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</si>
  <si>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</si>
  <si>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</si>
  <si>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</si>
  <si>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</si>
  <si>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</si>
  <si>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</si>
  <si>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</si>
  <si>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</si>
  <si>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</si>
  <si>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</si>
  <si>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</si>
  <si>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</si>
  <si>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</si>
  <si>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</si>
  <si>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</si>
  <si>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</si>
  <si>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</si>
  <si>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</si>
  <si>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</si>
  <si>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</si>
  <si>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</si>
  <si>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</si>
  <si>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</si>
  <si>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</si>
  <si>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</si>
  <si>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</si>
  <si>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</si>
  <si>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</si>
  <si>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</si>
  <si>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</si>
  <si>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</si>
  <si>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</si>
  <si>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</si>
  <si>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</si>
  <si>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</si>
  <si>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</si>
  <si>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</si>
  <si>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</si>
  <si>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</si>
  <si>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</si>
  <si>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</si>
  <si>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</si>
  <si>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</si>
  <si>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</si>
  <si>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</si>
  <si>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</si>
  <si>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</si>
  <si>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</si>
  <si>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</si>
  <si>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</si>
  <si>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</si>
  <si>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</si>
  <si>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</si>
  <si>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</si>
  <si>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</si>
  <si>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</si>
  <si>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</si>
  <si>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</si>
  <si>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</si>
  <si>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</si>
  <si>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</si>
  <si>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</si>
  <si>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</si>
  <si>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</si>
  <si>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</si>
  <si>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</si>
  <si>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</si>
  <si>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</si>
  <si>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</si>
  <si>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</si>
  <si>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</si>
  <si>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</si>
  <si>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</si>
  <si>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</si>
  <si>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</si>
  <si>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</si>
  <si>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</si>
  <si>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</si>
  <si>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</si>
  <si>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</si>
  <si>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</si>
  <si>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</si>
  <si>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</si>
  <si>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</si>
  <si>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</si>
  <si>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</si>
  <si>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</si>
  <si>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</si>
  <si>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</si>
  <si>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</si>
  <si>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</si>
  <si>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</si>
  <si>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</si>
  <si>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</si>
  <si>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</si>
  <si>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</si>
  <si>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</si>
  <si>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</si>
  <si>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</si>
  <si>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</si>
  <si>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</si>
  <si>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</si>
  <si>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</si>
  <si>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</si>
  <si>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</si>
  <si>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</si>
  <si>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</si>
  <si>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</si>
  <si>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</si>
  <si>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</si>
  <si>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</si>
  <si>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</si>
  <si>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</si>
  <si>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</si>
  <si>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</si>
  <si>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</si>
  <si>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</si>
  <si>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</si>
  <si>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</si>
  <si>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</si>
  <si>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</si>
  <si>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</si>
  <si>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</si>
  <si>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</si>
  <si>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</si>
  <si>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</si>
  <si>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</si>
  <si>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</si>
  <si>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</si>
  <si>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</si>
  <si>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</si>
  <si>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</si>
  <si>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</si>
  <si>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</si>
  <si>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</si>
  <si>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</si>
  <si>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</si>
  <si>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</si>
  <si>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</si>
  <si>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</si>
  <si>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</si>
  <si>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</si>
  <si>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</si>
  <si>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</si>
  <si>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</si>
  <si>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</si>
  <si>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</si>
  <si>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</si>
  <si>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</si>
  <si>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</si>
  <si>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</si>
  <si>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</si>
  <si>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</si>
  <si>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</si>
  <si>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</si>
  <si>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</si>
  <si>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</si>
  <si>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</si>
  <si>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</si>
  <si>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</si>
  <si>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</si>
  <si>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</si>
  <si>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</si>
  <si>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</si>
  <si>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</si>
  <si>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</si>
  <si>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</si>
  <si>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</si>
  <si>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</si>
  <si>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</si>
  <si>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</si>
  <si>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</si>
  <si>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</si>
  <si>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</si>
  <si>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</si>
  <si>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</si>
  <si>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</si>
  <si>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</si>
  <si>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</si>
  <si>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</si>
  <si>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</si>
  <si>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</si>
  <si>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</si>
  <si>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</si>
  <si>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</si>
  <si>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</si>
  <si>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</si>
  <si>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</si>
  <si>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</si>
  <si>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</si>
  <si>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</si>
  <si>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</si>
  <si>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</si>
  <si>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</si>
  <si>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</si>
  <si>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</si>
  <si>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</si>
  <si>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</si>
  <si>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</si>
  <si>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</si>
  <si>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</si>
  <si>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</si>
  <si>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</si>
  <si>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</si>
  <si>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</si>
  <si>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</si>
  <si>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</si>
  <si>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</si>
  <si>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</si>
  <si>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</si>
  <si>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</si>
  <si>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</si>
  <si>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</si>
  <si>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</si>
  <si>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</si>
  <si>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</si>
  <si>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</si>
  <si>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</si>
  <si>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</si>
  <si>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</si>
  <si>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</si>
  <si>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</si>
  <si>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</si>
  <si>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</si>
  <si>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</si>
  <si>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</si>
  <si>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</si>
  <si>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</si>
  <si>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</si>
  <si>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</si>
  <si>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</si>
  <si>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</si>
  <si>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</si>
  <si>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</si>
  <si>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</si>
  <si>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</si>
  <si>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</si>
  <si>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</si>
  <si>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</si>
  <si>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</si>
  <si>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</si>
  <si>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</si>
  <si>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</si>
  <si>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</si>
  <si>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</si>
  <si>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</si>
  <si>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</si>
  <si>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</si>
  <si>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</si>
  <si>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</si>
  <si>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</si>
  <si>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</si>
  <si>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</si>
  <si>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</si>
  <si>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</si>
  <si>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</si>
  <si>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</si>
  <si>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</si>
  <si>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</si>
  <si>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</si>
  <si>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</si>
  <si>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</si>
  <si>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</si>
  <si>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</si>
  <si>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</si>
  <si>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</si>
  <si>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</si>
  <si>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</si>
  <si>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</si>
  <si>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</si>
  <si>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</si>
  <si>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</si>
  <si>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</si>
  <si>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</si>
  <si>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</si>
  <si>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</si>
  <si>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</si>
  <si>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</si>
  <si>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</si>
  <si>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</si>
  <si>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</si>
  <si>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</si>
  <si>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</si>
  <si>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</si>
  <si>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</si>
  <si>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</si>
  <si>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</si>
  <si>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</si>
  <si>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</si>
  <si>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</si>
  <si>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</si>
  <si>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</si>
  <si>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</si>
  <si>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</si>
  <si>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</si>
  <si>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</si>
  <si>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</si>
  <si>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</si>
  <si>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</si>
  <si>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</si>
  <si>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</si>
  <si>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</si>
  <si>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</si>
  <si>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</si>
  <si>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</si>
  <si>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</si>
  <si>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</si>
  <si>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</si>
  <si>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</si>
  <si>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</si>
  <si>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</si>
  <si>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</si>
  <si>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</si>
  <si>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</si>
  <si>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</si>
  <si>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</si>
  <si>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</si>
  <si>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</si>
  <si>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</si>
  <si>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</si>
  <si>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</si>
  <si>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</si>
  <si>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</si>
  <si>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</si>
  <si>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</si>
  <si>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</si>
  <si>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</si>
  <si>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</si>
  <si>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</si>
  <si>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</si>
  <si>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</si>
  <si>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</si>
  <si>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</si>
  <si>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</si>
  <si>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</si>
  <si>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</si>
  <si>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</si>
  <si>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</si>
  <si>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</si>
  <si>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</si>
  <si>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</si>
  <si>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</si>
  <si>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</si>
  <si>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</si>
  <si>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</si>
  <si>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</si>
  <si>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</si>
  <si>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</si>
  <si>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</si>
  <si>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</si>
  <si>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</si>
  <si>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</si>
  <si>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</si>
  <si>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</si>
  <si>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</si>
  <si>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</si>
  <si>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</si>
  <si>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</si>
  <si>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</si>
  <si>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</si>
  <si>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</si>
  <si>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</si>
  <si>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</si>
  <si>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</si>
  <si>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</si>
  <si>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</si>
  <si>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</si>
  <si>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</si>
  <si>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</si>
  <si>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</si>
  <si>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</si>
  <si>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</si>
  <si>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</si>
  <si>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</si>
  <si>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</si>
  <si>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</si>
  <si>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</si>
  <si>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</si>
  <si>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</si>
  <si>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</si>
  <si>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</si>
  <si>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</si>
  <si>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</si>
  <si>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</si>
  <si>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</si>
  <si>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</si>
  <si>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</si>
  <si>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</si>
  <si>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</si>
  <si>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</si>
  <si>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</si>
  <si>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</si>
  <si>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</si>
  <si>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</si>
  <si>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</si>
  <si>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</si>
  <si>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</si>
  <si>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</si>
  <si>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</si>
  <si>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</si>
  <si>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</si>
  <si>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</si>
  <si>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</si>
  <si>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</si>
  <si>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</si>
  <si>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</si>
  <si>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</si>
  <si>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</si>
  <si>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</si>
  <si>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</si>
  <si>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</si>
  <si>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</si>
  <si>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</si>
  <si>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</si>
  <si>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</si>
  <si>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</si>
  <si>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</si>
  <si>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</si>
  <si>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</si>
  <si>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</si>
  <si>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</si>
  <si>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</si>
  <si>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</si>
  <si>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</si>
  <si>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</si>
  <si>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</si>
  <si>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</si>
  <si>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</si>
  <si>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</si>
  <si>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</si>
  <si>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</si>
  <si>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</si>
  <si>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</si>
  <si>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</si>
  <si>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</si>
  <si>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</si>
  <si>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</si>
  <si>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</si>
  <si>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</si>
  <si>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</si>
  <si>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</si>
  <si>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</si>
  <si>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</si>
  <si>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</si>
  <si>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</si>
  <si>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</si>
  <si>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</si>
  <si>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</si>
  <si>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</si>
  <si>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</si>
  <si>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</si>
  <si>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</si>
  <si>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</si>
  <si>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</si>
  <si>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</si>
  <si>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</si>
  <si>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</si>
  <si>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</si>
  <si>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</si>
  <si>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</si>
  <si>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</si>
  <si>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</si>
  <si>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</si>
  <si>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</si>
  <si>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</si>
  <si>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</si>
  <si>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</si>
  <si>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</si>
  <si>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</si>
  <si>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</si>
  <si>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</si>
  <si>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</si>
  <si>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</si>
  <si>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</si>
  <si>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</si>
  <si>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</si>
  <si>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</si>
  <si>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</si>
  <si>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</si>
  <si>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</si>
  <si>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</si>
  <si>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</si>
  <si>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</si>
  <si>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</si>
  <si>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</si>
  <si>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</si>
  <si>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</si>
  <si>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</si>
  <si>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</si>
  <si>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</si>
  <si>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</si>
  <si>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</si>
  <si>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</si>
  <si>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</si>
  <si>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</si>
  <si>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</si>
  <si>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</si>
  <si>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</si>
  <si>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</si>
  <si>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</si>
  <si>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</si>
  <si>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</si>
  <si>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</si>
  <si>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</si>
  <si>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</si>
  <si>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</si>
  <si>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</si>
  <si>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</si>
  <si>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</si>
  <si>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</si>
  <si>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</si>
  <si>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</si>
  <si>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</si>
  <si>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</si>
  <si>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</si>
  <si>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</si>
  <si>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</si>
  <si>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</si>
  <si>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</si>
  <si>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</si>
  <si>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</si>
  <si>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</si>
  <si>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</si>
  <si>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</si>
  <si>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</si>
  <si>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</si>
  <si>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</si>
  <si>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</si>
  <si>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</si>
  <si>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</si>
  <si>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</si>
  <si>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</si>
  <si>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</si>
  <si>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</si>
  <si>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</si>
  <si>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</si>
  <si>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</si>
  <si>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</si>
  <si>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</si>
  <si>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</si>
  <si>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</si>
  <si>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</si>
  <si>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</si>
  <si>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</si>
  <si>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</si>
  <si>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</si>
  <si>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</si>
  <si>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</si>
  <si>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</si>
  <si>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</si>
  <si>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</si>
  <si>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</si>
  <si>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</si>
  <si>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</si>
  <si>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</si>
  <si>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</si>
  <si>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</si>
  <si>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</si>
  <si>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</si>
  <si>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</si>
  <si>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</si>
  <si>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</si>
  <si>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</si>
  <si>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</si>
  <si>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</si>
  <si>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</si>
  <si>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</si>
  <si>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</si>
  <si>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</si>
  <si>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</si>
  <si>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</si>
  <si>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</si>
  <si>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</si>
  <si>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</si>
  <si>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</si>
  <si>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</si>
  <si>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</si>
  <si>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</si>
  <si>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</si>
  <si>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</si>
  <si>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</si>
  <si>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</si>
  <si>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</si>
  <si>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</si>
  <si>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</si>
  <si>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</si>
  <si>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</si>
  <si>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</si>
  <si>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</si>
  <si>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</si>
  <si>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</si>
  <si>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</si>
  <si>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</si>
  <si>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</si>
  <si>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</si>
  <si>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</si>
  <si>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</si>
  <si>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</si>
  <si>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</si>
  <si>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</si>
  <si>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</si>
  <si>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</si>
  <si>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</si>
  <si>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</si>
  <si>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</si>
  <si>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</si>
  <si>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</si>
  <si>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</si>
  <si>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</si>
  <si>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</si>
  <si>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</si>
  <si>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</si>
  <si>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</si>
  <si>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</si>
  <si>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</si>
  <si>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</si>
  <si>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</si>
  <si>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</si>
  <si>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</si>
  <si>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</si>
  <si>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</si>
  <si>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</si>
  <si>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</si>
  <si>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</si>
  <si>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</si>
  <si>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</si>
  <si>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</si>
  <si>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</si>
  <si>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</si>
  <si>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</si>
  <si>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</si>
  <si>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</si>
  <si>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</si>
  <si>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</si>
  <si>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</si>
  <si>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</si>
  <si>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</si>
  <si>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</si>
  <si>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</si>
  <si>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</si>
  <si>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</si>
  <si>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</si>
  <si>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</si>
  <si>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</si>
  <si>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</si>
  <si>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</si>
  <si>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</si>
  <si>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</si>
  <si>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</si>
  <si>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</si>
  <si>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</si>
  <si>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</si>
  <si>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</si>
  <si>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</si>
  <si>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</si>
  <si>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</si>
  <si>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</si>
  <si>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</si>
  <si>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</si>
  <si>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</si>
  <si>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</si>
  <si>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</si>
  <si>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</si>
  <si>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</si>
  <si>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</si>
  <si>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</si>
  <si>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</si>
  <si>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</si>
  <si>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</si>
  <si>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</si>
  <si>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</si>
  <si>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</si>
  <si>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</si>
  <si>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</si>
  <si>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</si>
  <si>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</si>
  <si>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</si>
  <si>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</si>
  <si>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</si>
  <si>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</si>
  <si>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</si>
  <si>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</si>
  <si>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</si>
  <si>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</si>
  <si>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</si>
  <si>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</si>
  <si>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</si>
  <si>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</si>
  <si>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</si>
  <si>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</si>
  <si>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</si>
  <si>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</si>
  <si>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</si>
  <si>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</si>
  <si>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</si>
  <si>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</si>
  <si>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</si>
  <si>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</si>
  <si>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</si>
  <si>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</si>
  <si>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</si>
  <si>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</si>
  <si>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</si>
  <si>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</si>
  <si>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</si>
  <si>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</si>
  <si>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</si>
  <si>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</si>
  <si>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</si>
  <si>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</si>
  <si>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</si>
  <si>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</si>
  <si>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</si>
  <si>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</si>
  <si>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</si>
  <si>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</si>
  <si>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</si>
  <si>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</si>
  <si>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</si>
  <si>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</si>
  <si>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</si>
  <si>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</si>
  <si>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</si>
  <si>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</si>
  <si>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</si>
  <si>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</si>
  <si>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</si>
  <si>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</si>
  <si>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</si>
  <si>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</si>
  <si>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</si>
  <si>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</si>
  <si>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</si>
  <si>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</si>
  <si>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</si>
  <si>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</si>
  <si>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</si>
  <si>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</si>
  <si>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</si>
  <si>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</si>
  <si>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</si>
  <si>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</si>
  <si>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</si>
  <si>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</si>
  <si>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</si>
  <si>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</si>
  <si>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</si>
  <si>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</si>
  <si>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</si>
  <si>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</si>
  <si>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</si>
  <si>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</si>
  <si>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</si>
  <si>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</si>
  <si>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</si>
  <si>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</si>
  <si>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</si>
  <si>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</si>
  <si>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</si>
  <si>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</si>
  <si>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</si>
  <si>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</si>
  <si>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</si>
  <si>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</si>
  <si>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</si>
  <si>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</si>
  <si>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</si>
  <si>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</si>
  <si>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</si>
  <si>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</si>
  <si>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</si>
  <si>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</si>
  <si>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</si>
  <si>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</si>
  <si>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</si>
  <si>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</si>
  <si>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</si>
  <si>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</si>
  <si>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</si>
  <si>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</si>
  <si>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</si>
  <si>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</si>
  <si>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</si>
  <si>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</si>
  <si>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</si>
  <si>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</si>
  <si>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</si>
  <si>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</si>
  <si>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</si>
  <si>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</si>
  <si>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</si>
  <si>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</si>
  <si>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</si>
  <si>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</si>
  <si>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</si>
  <si>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</si>
  <si>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</si>
  <si>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</si>
  <si>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</si>
  <si>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</si>
  <si>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</si>
  <si>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</si>
  <si>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</si>
  <si>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</si>
  <si>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</si>
  <si>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</si>
  <si>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</si>
  <si>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</si>
  <si>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</si>
  <si>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</si>
  <si>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</si>
  <si>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</si>
  <si>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</si>
  <si>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</si>
  <si>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</si>
  <si>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</si>
  <si>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</si>
  <si>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</si>
  <si>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</si>
  <si>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</si>
  <si>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</si>
  <si>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</si>
  <si>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</si>
  <si>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</si>
  <si>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</si>
  <si>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</si>
  <si>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</si>
  <si>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</si>
  <si>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</si>
  <si>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</si>
  <si>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</si>
  <si>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</si>
  <si>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</si>
  <si>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</si>
  <si>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</si>
  <si>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</si>
  <si>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</si>
  <si>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</si>
  <si>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</si>
  <si>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</si>
  <si>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</si>
  <si>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</si>
  <si>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</si>
  <si>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</si>
  <si>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</si>
  <si>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</si>
  <si>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</si>
  <si>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</si>
  <si>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</si>
  <si>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</si>
  <si>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</si>
  <si>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</si>
  <si>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</si>
  <si>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</si>
  <si>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</si>
  <si>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</si>
  <si>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</si>
  <si>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</si>
  <si>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</si>
  <si>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</si>
  <si>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</si>
  <si>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</si>
  <si>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</si>
  <si>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</si>
  <si>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</si>
  <si>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</si>
  <si>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</si>
  <si>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</si>
  <si>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</si>
  <si>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</si>
  <si>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</si>
  <si>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</si>
  <si>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</si>
  <si>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</si>
  <si>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</si>
  <si>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</si>
  <si>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</si>
  <si>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</si>
  <si>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</si>
  <si>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</si>
  <si>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</si>
  <si>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</si>
  <si>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</si>
  <si>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</si>
  <si>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</si>
  <si>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</si>
  <si>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</si>
  <si>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</si>
  <si>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</si>
  <si>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</si>
  <si>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</si>
  <si>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</si>
  <si>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</si>
  <si>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</si>
  <si>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</si>
  <si>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</si>
  <si>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</si>
  <si>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</si>
  <si>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</si>
  <si>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</si>
  <si>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</si>
  <si>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</si>
  <si>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</si>
  <si>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</si>
  <si>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</si>
  <si>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</si>
  <si>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</si>
  <si>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</si>
  <si>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</si>
  <si>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</si>
  <si>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</si>
  <si>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</si>
  <si>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</si>
  <si>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</si>
  <si>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</si>
  <si>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</si>
  <si>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</si>
  <si>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</si>
  <si>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</si>
  <si>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</si>
  <si>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</si>
  <si>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</si>
  <si>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</si>
  <si>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</si>
  <si>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</si>
  <si>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</si>
  <si>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</si>
  <si>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</si>
  <si>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</si>
  <si>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</si>
  <si>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</si>
  <si>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</si>
  <si>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</si>
  <si>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</si>
  <si>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</si>
  <si>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</si>
  <si>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</si>
  <si>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</si>
  <si>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</si>
  <si>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</si>
  <si>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</si>
  <si>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</si>
  <si>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</si>
  <si>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</si>
  <si>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</si>
  <si>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</si>
  <si>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</si>
  <si>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</si>
  <si>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</si>
  <si>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</si>
  <si>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</si>
  <si>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</si>
  <si>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</si>
  <si>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</si>
  <si>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</si>
  <si>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</si>
  <si>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</si>
  <si>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</si>
  <si>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</si>
  <si>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</si>
  <si>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</si>
  <si>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</si>
  <si>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</si>
  <si>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</si>
  <si>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</si>
  <si>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</si>
  <si>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</si>
  <si>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</si>
  <si>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</si>
  <si>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</si>
  <si>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</si>
  <si>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</si>
  <si>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</si>
  <si>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</si>
  <si>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</si>
  <si>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</si>
  <si>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</si>
  <si>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</si>
  <si>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</si>
  <si>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</si>
  <si>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</si>
  <si>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</si>
  <si>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</si>
  <si>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</si>
  <si>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</si>
  <si>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</si>
  <si>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</si>
  <si>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</si>
  <si>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</si>
  <si>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</si>
  <si>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</si>
  <si>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</si>
  <si>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</si>
  <si>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</si>
  <si>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</si>
  <si>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</si>
  <si>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</si>
  <si>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</si>
  <si>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</si>
  <si>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</si>
  <si>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</si>
  <si>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</si>
  <si>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</si>
  <si>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</si>
  <si>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</si>
  <si>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</si>
  <si>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</si>
  <si>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</si>
  <si>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</si>
  <si>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</si>
  <si>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</si>
  <si>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</si>
  <si>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</si>
  <si>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</si>
  <si>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</si>
  <si>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</si>
  <si>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</si>
  <si>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</si>
  <si>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</si>
  <si>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</si>
  <si>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</si>
  <si>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</si>
  <si>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</si>
  <si>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</si>
  <si>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</si>
  <si>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</si>
  <si>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</si>
  <si>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</si>
  <si>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</si>
  <si>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</si>
  <si>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</si>
  <si>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</si>
  <si>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</si>
  <si>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</si>
  <si>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</si>
  <si>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</si>
  <si>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</si>
  <si>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</si>
  <si>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</si>
  <si>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</si>
  <si>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</si>
  <si>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</si>
  <si>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</si>
  <si>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</si>
  <si>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</si>
  <si>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</si>
  <si>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</si>
  <si>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</si>
  <si>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</si>
  <si>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</si>
  <si>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</si>
  <si>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</si>
  <si>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</si>
  <si>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</si>
  <si>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</si>
  <si>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</si>
  <si>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</si>
  <si>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</si>
  <si>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</si>
  <si>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</si>
  <si>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</si>
  <si>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</si>
  <si>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</si>
  <si>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</si>
  <si>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</si>
  <si>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</si>
  <si>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</si>
  <si>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</si>
  <si>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</si>
  <si>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</si>
  <si>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</si>
  <si>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</si>
  <si>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</si>
  <si>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</si>
  <si>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</si>
  <si>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</si>
  <si>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</si>
  <si>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</si>
  <si>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</si>
  <si>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</si>
  <si>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</si>
  <si>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</si>
  <si>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</si>
  <si>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</si>
  <si>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</si>
  <si>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</si>
  <si>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</si>
  <si>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</si>
  <si>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</si>
  <si>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</si>
  <si>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</si>
  <si>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</si>
  <si>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</si>
  <si>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</si>
  <si>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</si>
  <si>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</si>
  <si>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</si>
  <si>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</si>
  <si>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</si>
  <si>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</si>
  <si>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</si>
  <si>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</si>
  <si>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</si>
  <si>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</si>
  <si>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</si>
  <si>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</si>
  <si>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</si>
  <si>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</si>
  <si>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</si>
  <si>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</si>
  <si>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</si>
  <si>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</si>
  <si>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</si>
  <si>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</si>
  <si>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</si>
  <si>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</si>
  <si>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</si>
  <si>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</si>
  <si>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</si>
  <si>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</si>
  <si>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</si>
  <si>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</si>
  <si>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</si>
  <si>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</si>
  <si>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</si>
  <si>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</si>
  <si>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</si>
  <si>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</si>
  <si>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</si>
  <si>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</si>
  <si>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</si>
  <si>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</si>
  <si>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</si>
  <si>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</si>
  <si>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</si>
  <si>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</si>
  <si>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</si>
  <si>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</si>
  <si>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</si>
  <si>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</si>
  <si>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</si>
  <si>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</si>
  <si>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</si>
  <si>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</si>
  <si>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</si>
  <si>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</si>
  <si>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</si>
  <si>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</si>
  <si>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</si>
  <si>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</si>
  <si>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</si>
  <si>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</si>
  <si>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</si>
  <si>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</si>
  <si>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</si>
  <si>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</si>
  <si>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</si>
  <si>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</si>
  <si>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</si>
  <si>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</si>
  <si>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</si>
  <si>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</si>
  <si>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</si>
  <si>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</si>
  <si>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</si>
  <si>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</si>
  <si>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</si>
  <si>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</si>
  <si>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</si>
  <si>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</si>
  <si>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</si>
  <si>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</si>
  <si>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</si>
  <si>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</si>
  <si>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</si>
  <si>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</si>
  <si>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</si>
  <si>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</si>
  <si>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</si>
  <si>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</si>
  <si>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</si>
  <si>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</si>
  <si>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</si>
  <si>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</si>
  <si>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</si>
  <si>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</si>
  <si>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</si>
  <si>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</si>
  <si>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</si>
  <si>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</si>
  <si>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</si>
  <si>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</si>
  <si>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</si>
  <si>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</si>
  <si>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</si>
  <si>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</si>
  <si>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</si>
  <si>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</si>
  <si>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</si>
  <si>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</si>
  <si>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</si>
  <si>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</si>
  <si>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</si>
  <si>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</si>
  <si>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</si>
  <si>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</si>
  <si>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</si>
  <si>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</si>
  <si>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</si>
  <si>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</si>
  <si>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</si>
  <si>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</si>
  <si>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</si>
  <si>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</si>
  <si>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</si>
  <si>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</si>
  <si>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</si>
  <si>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</si>
  <si>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</si>
  <si>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</si>
  <si>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</si>
  <si>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</si>
  <si>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</si>
  <si>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</si>
  <si>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</si>
  <si>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</si>
  <si>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</si>
  <si>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</si>
  <si>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</si>
  <si>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</si>
  <si>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</si>
  <si>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</si>
  <si>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</si>
  <si>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</si>
  <si>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</si>
  <si>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</si>
  <si>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</si>
  <si>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</si>
  <si>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</si>
  <si>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</si>
  <si>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</si>
  <si>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</si>
  <si>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</si>
  <si>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</si>
  <si>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</si>
  <si>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</si>
  <si>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</si>
  <si>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</si>
  <si>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</si>
  <si>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</si>
  <si>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</si>
  <si>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</si>
  <si>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</si>
  <si>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</si>
  <si>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</si>
  <si>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</si>
  <si>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</si>
  <si>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</si>
  <si>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</si>
  <si>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</si>
  <si>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</si>
  <si>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</si>
  <si>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</si>
  <si>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</si>
  <si>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</si>
  <si>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</si>
  <si>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</si>
  <si>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</si>
  <si>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</si>
  <si>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</si>
  <si>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</si>
  <si>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</si>
  <si>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</si>
  <si>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</si>
  <si>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</si>
  <si>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</si>
  <si>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</si>
  <si>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</si>
  <si>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</si>
  <si>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</si>
  <si>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</si>
  <si>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</si>
  <si>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</si>
  <si>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</si>
  <si>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</si>
  <si>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</si>
  <si>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</si>
  <si>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</si>
  <si>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</si>
  <si>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</si>
  <si>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</si>
  <si>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</si>
  <si>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</si>
  <si>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</si>
  <si>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</si>
  <si>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</si>
  <si>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</si>
  <si>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</si>
  <si>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</si>
  <si>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</si>
  <si>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</si>
  <si>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</si>
  <si>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</si>
  <si>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</si>
  <si>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</si>
  <si>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</si>
  <si>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</si>
  <si>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</si>
  <si>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</si>
  <si>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</si>
  <si>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</si>
  <si>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</si>
  <si>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</si>
  <si>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</si>
  <si>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</si>
  <si>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</si>
  <si>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</si>
  <si>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</si>
  <si>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</si>
  <si>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</si>
  <si>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</si>
  <si>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</si>
  <si>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</si>
  <si>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</si>
  <si>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</si>
  <si>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</si>
  <si>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</si>
  <si>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</si>
  <si>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</si>
  <si>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</si>
  <si>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</si>
  <si>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</si>
  <si>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</si>
  <si>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</si>
  <si>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</si>
  <si>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</si>
  <si>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</si>
  <si>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</si>
  <si>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</si>
  <si>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</si>
  <si>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</si>
  <si>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</si>
  <si>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</si>
  <si>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</si>
  <si>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</si>
  <si>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</si>
  <si>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</si>
  <si>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</si>
  <si>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</si>
  <si>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</si>
  <si>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</si>
  <si>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</si>
  <si>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</si>
  <si>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</si>
  <si>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</si>
  <si>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</si>
  <si>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</si>
  <si>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</si>
  <si>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</si>
  <si>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</si>
  <si>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</si>
  <si>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</si>
  <si>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</si>
  <si>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</si>
  <si>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</si>
  <si>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</si>
  <si>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</si>
  <si>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</si>
  <si>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</si>
  <si>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</si>
  <si>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</si>
  <si>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</si>
  <si>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</si>
  <si>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</si>
  <si>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</si>
  <si>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</si>
  <si>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</si>
  <si>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</si>
  <si>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</si>
  <si>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</si>
  <si>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</si>
  <si>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</si>
  <si>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</si>
  <si>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</si>
  <si>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</si>
  <si>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</si>
  <si>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</si>
  <si>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</si>
  <si>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</si>
  <si>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</si>
  <si>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</si>
  <si>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</si>
  <si>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</si>
  <si>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</si>
  <si>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</si>
  <si>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</si>
  <si>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</si>
  <si>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</si>
  <si>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</si>
  <si>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</si>
  <si>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</si>
  <si>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</si>
  <si>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</si>
  <si>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</si>
  <si>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</si>
  <si>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</si>
  <si>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</si>
  <si>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</si>
  <si>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</si>
  <si>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</si>
  <si>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</si>
  <si>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</si>
  <si>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</si>
  <si>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</si>
  <si>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</si>
  <si>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</si>
  <si>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</si>
  <si>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</si>
  <si>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</si>
  <si>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</si>
  <si>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</si>
  <si>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</si>
  <si>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</si>
  <si>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</si>
  <si>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</si>
  <si>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</si>
  <si>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</si>
  <si>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</si>
  <si>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</si>
  <si>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</si>
  <si>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</si>
  <si>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</si>
  <si>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</si>
  <si>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</si>
  <si>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</si>
  <si>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</si>
  <si>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</si>
  <si>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</si>
  <si>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</si>
  <si>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</si>
  <si>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</si>
  <si>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</si>
  <si>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</si>
  <si>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</si>
  <si>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</si>
  <si>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</si>
  <si>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</si>
  <si>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</si>
  <si>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</si>
  <si>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</si>
  <si>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</si>
  <si>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</si>
  <si>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</si>
  <si>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</si>
  <si>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</si>
  <si>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</si>
  <si>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</si>
  <si>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</si>
  <si>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</si>
  <si>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</si>
  <si>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</si>
  <si>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</si>
  <si>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</si>
  <si>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</si>
  <si>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</si>
  <si>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</si>
  <si>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</si>
  <si>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</si>
  <si>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</si>
  <si>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</si>
  <si>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</si>
  <si>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</si>
  <si>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</si>
  <si>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</si>
  <si>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</si>
  <si>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</si>
  <si>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</si>
  <si>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</si>
  <si>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</si>
  <si>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</si>
  <si>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</si>
  <si>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</si>
  <si>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</si>
  <si>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</si>
  <si>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</si>
  <si>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</si>
  <si>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</si>
  <si>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</si>
  <si>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</si>
  <si>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</si>
  <si>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</si>
  <si>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</si>
  <si>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</si>
  <si>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</si>
  <si>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</si>
  <si>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</si>
  <si>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</si>
  <si>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</si>
  <si>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</si>
  <si>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</si>
  <si>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</si>
  <si>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</si>
  <si>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</si>
  <si>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</si>
  <si>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</si>
  <si>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</si>
  <si>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</si>
  <si>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</si>
  <si>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</si>
  <si>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</si>
  <si>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</si>
  <si>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</si>
  <si>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</si>
  <si>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</si>
  <si>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</si>
  <si>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</si>
  <si>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</si>
  <si>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</si>
  <si>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</si>
  <si>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</si>
  <si>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</si>
  <si>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</si>
  <si>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</si>
  <si>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</si>
  <si>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</si>
  <si>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</si>
  <si>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</si>
  <si>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</si>
  <si>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</si>
  <si>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</si>
  <si>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</si>
  <si>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</si>
  <si>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</si>
  <si>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</si>
  <si>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</si>
  <si>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</si>
  <si>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</si>
  <si>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</si>
  <si>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</si>
  <si>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</si>
  <si>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</si>
  <si>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</si>
  <si>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</si>
  <si>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</si>
  <si>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</si>
  <si>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</si>
  <si>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</si>
  <si>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</si>
  <si>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</si>
  <si>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</si>
  <si>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</si>
  <si>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</si>
  <si>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</si>
  <si>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</si>
  <si>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</si>
  <si>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</si>
  <si>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</si>
  <si>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</si>
  <si>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</si>
  <si>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</si>
  <si>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</si>
  <si>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</si>
  <si>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</si>
  <si>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</si>
  <si>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</si>
  <si>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</si>
  <si>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</si>
  <si>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</si>
  <si>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</si>
  <si>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</si>
  <si>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</si>
  <si>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</si>
  <si>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</si>
  <si>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</si>
  <si>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</si>
  <si>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</si>
  <si>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</si>
  <si>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</si>
  <si>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</si>
  <si>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</si>
  <si>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</si>
  <si>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</si>
  <si>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</si>
  <si>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</si>
  <si>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</si>
  <si>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</si>
  <si>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</si>
  <si>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</si>
  <si>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</si>
  <si>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</si>
  <si>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</si>
  <si>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</si>
  <si>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</si>
  <si>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</si>
  <si>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</si>
  <si>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</si>
  <si>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</si>
  <si>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</si>
  <si>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</si>
  <si>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</si>
  <si>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</si>
  <si>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</si>
  <si>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</si>
  <si>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</si>
  <si>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</si>
  <si>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</si>
  <si>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</si>
  <si>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</si>
  <si>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</si>
  <si>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</si>
  <si>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</si>
  <si>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</si>
  <si>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</si>
  <si>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</si>
  <si>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</si>
  <si>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</si>
  <si>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</si>
  <si>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</si>
  <si>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</si>
  <si>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</si>
  <si>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</si>
  <si>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</si>
  <si>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</si>
  <si>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</si>
  <si>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</si>
  <si>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</si>
  <si>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</si>
  <si>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</si>
  <si>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</si>
  <si>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</si>
  <si>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</si>
  <si>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</si>
  <si>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</si>
  <si>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</si>
  <si>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</si>
  <si>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</si>
  <si>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</si>
  <si>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</si>
  <si>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</si>
  <si>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</si>
  <si>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</si>
  <si>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</si>
  <si>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</si>
  <si>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</si>
  <si>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</si>
  <si>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</si>
  <si>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</si>
  <si>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</si>
  <si>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</si>
  <si>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</si>
  <si>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</si>
  <si>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</si>
  <si>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</si>
  <si>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</si>
  <si>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</si>
  <si>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</si>
  <si>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</si>
  <si>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</si>
  <si>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</si>
  <si>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</si>
  <si>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</si>
  <si>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</si>
  <si>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</si>
  <si>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</si>
  <si>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</si>
  <si>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</si>
  <si>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</si>
  <si>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</si>
  <si>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</si>
  <si>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</si>
  <si>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</si>
  <si>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</si>
  <si>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</si>
  <si>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</si>
  <si>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</si>
  <si>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</si>
  <si>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</si>
  <si>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</si>
  <si>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</si>
  <si>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</si>
  <si>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</si>
  <si>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</si>
  <si>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</si>
  <si>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</si>
  <si>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</si>
  <si>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</si>
  <si>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</si>
  <si>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</si>
  <si>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</si>
  <si>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</si>
  <si>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</si>
  <si>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</si>
  <si>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</si>
  <si>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</si>
  <si>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</si>
  <si>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</si>
  <si>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</si>
  <si>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</si>
  <si>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</si>
  <si>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</si>
  <si>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</si>
  <si>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</si>
  <si>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</si>
  <si>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</si>
  <si>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</si>
  <si>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</si>
  <si>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</si>
  <si>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</si>
  <si>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</si>
  <si>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</si>
  <si>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</si>
  <si>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</si>
  <si>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</si>
  <si>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</si>
  <si>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</si>
  <si>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</si>
  <si>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</si>
  <si>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</si>
  <si>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</si>
  <si>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</si>
  <si>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</si>
  <si>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</si>
  <si>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</si>
  <si>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</si>
  <si>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</si>
  <si>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</si>
  <si>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</si>
  <si>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</si>
  <si>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</si>
  <si>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</si>
  <si>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</si>
  <si>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</si>
  <si>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</si>
  <si>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</si>
  <si>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</si>
  <si>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</si>
  <si>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</si>
  <si>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</si>
  <si>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</si>
  <si>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</si>
  <si>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</si>
  <si>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</si>
  <si>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</si>
  <si>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</si>
  <si>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</si>
  <si>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</si>
  <si>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</si>
  <si>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</si>
  <si>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</si>
  <si>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</si>
  <si>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</si>
  <si>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</si>
  <si>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</si>
  <si>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</si>
  <si>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</si>
  <si>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</si>
  <si>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</si>
  <si>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</si>
  <si>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</si>
  <si>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</si>
  <si>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</si>
  <si>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</si>
  <si>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</si>
  <si>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</si>
  <si>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</si>
  <si>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</si>
  <si>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</si>
  <si>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</si>
  <si>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</si>
  <si>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</si>
  <si>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</si>
  <si>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</si>
  <si>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</si>
  <si>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</si>
  <si>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</si>
  <si>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</si>
  <si>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</si>
  <si>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</si>
  <si>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</si>
  <si>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</si>
  <si>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</si>
  <si>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</si>
  <si>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</si>
  <si>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</si>
  <si>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</si>
  <si>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</si>
  <si>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</si>
  <si>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</si>
  <si>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</si>
  <si>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</si>
  <si>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</si>
  <si>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</si>
  <si>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</si>
  <si>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</si>
  <si>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</si>
  <si>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</si>
  <si>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</si>
  <si>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</si>
  <si>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</si>
  <si>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</si>
  <si>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</si>
  <si>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</si>
  <si>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</si>
  <si>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</si>
  <si>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</si>
  <si>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</si>
  <si>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</si>
  <si>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</si>
  <si>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</si>
  <si>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</si>
  <si>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</si>
  <si>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</si>
  <si>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</si>
  <si>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</si>
  <si>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</si>
  <si>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</si>
  <si>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</si>
  <si>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</si>
  <si>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</si>
  <si>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</si>
  <si>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</si>
  <si>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</si>
  <si>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</si>
  <si>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</si>
  <si>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</si>
  <si>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</si>
  <si>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</si>
  <si>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</si>
  <si>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</si>
  <si>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</si>
  <si>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</si>
  <si>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</si>
  <si>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</si>
  <si>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</si>
  <si>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</si>
  <si>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</si>
  <si>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</si>
  <si>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</si>
  <si>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</si>
  <si>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</si>
  <si>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</si>
  <si>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</si>
  <si>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</si>
  <si>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</si>
  <si>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</si>
  <si>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</si>
  <si>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</si>
  <si>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</si>
  <si>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</si>
  <si>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</si>
  <si>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</si>
  <si>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</si>
  <si>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</si>
  <si>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</si>
  <si>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</si>
  <si>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</si>
  <si>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</si>
  <si>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</si>
  <si>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</si>
  <si>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</si>
  <si>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</si>
  <si>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</si>
  <si>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</si>
  <si>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</si>
  <si>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</si>
  <si>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</si>
  <si>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</si>
  <si>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</si>
  <si>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</si>
  <si>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</si>
  <si>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</si>
  <si>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</si>
  <si>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</si>
  <si>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</si>
  <si>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</si>
  <si>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</si>
  <si>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</si>
  <si>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</si>
  <si>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</si>
  <si>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</si>
  <si>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</si>
  <si>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</si>
  <si>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</si>
  <si>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</si>
  <si>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</si>
  <si>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</si>
  <si>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</si>
  <si>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</si>
  <si>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</si>
  <si>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</si>
  <si>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</si>
  <si>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</si>
  <si>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</si>
  <si>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</si>
  <si>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</si>
  <si>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</si>
  <si>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</si>
  <si>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</si>
  <si>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</si>
  <si>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</si>
  <si>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</si>
  <si>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</si>
  <si>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</si>
  <si>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</si>
  <si>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</si>
  <si>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</si>
  <si>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</si>
  <si>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</si>
  <si>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</si>
  <si>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</si>
  <si>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</si>
  <si>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</si>
  <si>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</si>
  <si>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</si>
  <si>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</si>
  <si>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</si>
  <si>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</si>
  <si>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</si>
  <si>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</si>
  <si>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</si>
  <si>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</si>
  <si>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</si>
  <si>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</si>
  <si>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</si>
  <si>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</si>
  <si>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</si>
  <si>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</si>
  <si>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</si>
  <si>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</si>
  <si>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</si>
  <si>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</si>
  <si>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</si>
  <si>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</si>
  <si>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</si>
  <si>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</si>
  <si>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</si>
  <si>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</si>
  <si>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</si>
  <si>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</si>
  <si>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</si>
  <si>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</si>
  <si>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</si>
  <si>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</si>
  <si>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</si>
  <si>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</si>
  <si>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</si>
  <si>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</si>
  <si>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</si>
  <si>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</si>
  <si>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</si>
  <si>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</si>
  <si>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</si>
  <si>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</si>
  <si>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</si>
  <si>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</si>
  <si>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</si>
  <si>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</si>
  <si>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</si>
  <si>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</si>
  <si>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</si>
  <si>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</si>
  <si>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</si>
  <si>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</si>
  <si>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</si>
  <si>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</si>
  <si>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</si>
  <si>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</si>
  <si>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</si>
  <si>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</si>
  <si>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</si>
  <si>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</si>
  <si>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</si>
  <si>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</si>
  <si>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</si>
  <si>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</si>
  <si>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</si>
  <si>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</si>
  <si>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</si>
  <si>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</si>
  <si>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</si>
  <si>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</si>
  <si>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</si>
  <si>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</si>
  <si>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</si>
  <si>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</si>
  <si>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</si>
  <si>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</si>
  <si>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</si>
  <si>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</si>
  <si>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</si>
  <si>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</si>
  <si>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</si>
  <si>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</si>
  <si>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</si>
  <si>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</si>
  <si>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</si>
  <si>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</si>
  <si>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</si>
  <si>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</si>
  <si>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</si>
  <si>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</si>
  <si>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</si>
  <si>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</si>
  <si>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</si>
  <si>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</si>
  <si>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</si>
  <si>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</si>
  <si>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</si>
  <si>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</si>
  <si>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</si>
  <si>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</si>
  <si>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</si>
  <si>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</si>
  <si>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</si>
  <si>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</si>
  <si>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</si>
  <si>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</si>
  <si>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</si>
  <si>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</si>
  <si>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</si>
  <si>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</si>
  <si>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</si>
  <si>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</si>
  <si>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</si>
  <si>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</si>
  <si>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</si>
  <si>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</si>
  <si>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</si>
  <si>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</si>
  <si>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</si>
  <si>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</si>
  <si>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</si>
  <si>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</si>
  <si>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</si>
  <si>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</si>
  <si>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</si>
  <si>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</si>
  <si>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</si>
  <si>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</si>
  <si>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</si>
  <si>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</si>
  <si>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</si>
  <si>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</si>
  <si>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</si>
  <si>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</si>
  <si>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</si>
  <si>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</si>
  <si>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</si>
  <si>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</si>
  <si>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</si>
  <si>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</si>
  <si>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</si>
  <si>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</si>
  <si>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</si>
  <si>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</si>
  <si>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</si>
  <si>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</si>
  <si>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</si>
  <si>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</si>
  <si>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</si>
  <si>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</si>
  <si>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</si>
  <si>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</si>
  <si>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</si>
  <si>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</si>
  <si>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</si>
  <si>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</si>
  <si>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</si>
  <si>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</si>
  <si>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</si>
  <si>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</si>
  <si>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</si>
  <si>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</si>
  <si>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</si>
  <si>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</si>
  <si>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</si>
  <si>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</si>
  <si>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</si>
  <si>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</si>
  <si>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</si>
  <si>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</si>
  <si>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</si>
  <si>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</si>
  <si>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</si>
  <si>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</si>
  <si>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</si>
  <si>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</si>
  <si>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</si>
  <si>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</si>
  <si>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</si>
  <si>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</si>
  <si>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</si>
  <si>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</si>
  <si>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</si>
  <si>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</si>
  <si>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</si>
  <si>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</si>
  <si>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</si>
  <si>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</si>
  <si>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</si>
  <si>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</si>
  <si>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</si>
  <si>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</si>
  <si>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</si>
  <si>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</si>
  <si>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</si>
  <si>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</si>
  <si>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</si>
  <si>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</si>
  <si>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</si>
  <si>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</si>
  <si>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</si>
  <si>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</si>
  <si>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</si>
  <si>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</si>
  <si>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</si>
  <si>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</si>
  <si>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</si>
  <si>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</si>
  <si>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</si>
  <si>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</si>
  <si>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</si>
  <si>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</si>
  <si>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</si>
  <si>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</si>
  <si>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</si>
  <si>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</si>
  <si>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</si>
  <si>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</si>
  <si>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</si>
  <si>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</si>
  <si>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</si>
  <si>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</si>
  <si>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</si>
  <si>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</si>
  <si>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</si>
  <si>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</si>
  <si>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</si>
  <si>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</si>
  <si>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</si>
  <si>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</si>
  <si>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</si>
  <si>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</si>
  <si>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</si>
  <si>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</si>
  <si>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</si>
  <si>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</si>
  <si>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</si>
  <si>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</si>
  <si>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</si>
  <si>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</si>
  <si>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</si>
  <si>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</si>
  <si>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</si>
  <si>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</si>
  <si>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</si>
  <si>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</si>
  <si>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</si>
  <si>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</si>
  <si>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</si>
  <si>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</si>
  <si>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</si>
  <si>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</si>
  <si>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</si>
  <si>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</si>
  <si>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</si>
  <si>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</si>
  <si>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</si>
  <si>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</si>
  <si>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</si>
  <si>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</si>
  <si>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</si>
  <si>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</si>
  <si>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</si>
  <si>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</si>
  <si>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</si>
  <si>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</si>
  <si>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</si>
  <si>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</si>
  <si>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</si>
  <si>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</si>
  <si>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</si>
  <si>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</si>
  <si>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</si>
  <si>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</si>
  <si>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</si>
  <si>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</si>
  <si>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</si>
  <si>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</si>
  <si>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</si>
  <si>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</si>
  <si>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</si>
  <si>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</si>
  <si>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</si>
  <si>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</si>
  <si>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</si>
  <si>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</si>
  <si>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</si>
  <si>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</si>
  <si>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</si>
  <si>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</si>
  <si>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</si>
  <si>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</si>
  <si>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</si>
  <si>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</si>
  <si>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</si>
  <si>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</si>
  <si>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</si>
  <si>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</si>
  <si>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</si>
  <si>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</si>
  <si>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</si>
  <si>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</si>
  <si>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</si>
  <si>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</si>
  <si>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</si>
  <si>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</si>
  <si>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</si>
  <si>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</si>
  <si>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</si>
  <si>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</si>
  <si>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</si>
  <si>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</si>
  <si>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</si>
  <si>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</si>
  <si>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</si>
  <si>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</si>
  <si>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</si>
  <si>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</si>
  <si>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</si>
  <si>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</si>
  <si>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</si>
  <si>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</si>
  <si>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</si>
  <si>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</si>
  <si>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</si>
  <si>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</si>
  <si>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</si>
  <si>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</si>
  <si>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</si>
  <si>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</si>
  <si>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</si>
  <si>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</si>
  <si>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</si>
  <si>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</si>
  <si>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</si>
  <si>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</si>
  <si>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</si>
  <si>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</si>
  <si>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</si>
  <si>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</si>
  <si>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</si>
  <si>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</si>
  <si>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</si>
  <si>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</si>
  <si>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</si>
  <si>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</si>
  <si>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</si>
  <si>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</si>
  <si>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</si>
  <si>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</si>
  <si>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</si>
  <si>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</si>
  <si>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</si>
  <si>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</si>
  <si>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</si>
  <si>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</si>
  <si>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</si>
  <si>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</si>
  <si>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</si>
  <si>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</si>
  <si>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</si>
  <si>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</si>
  <si>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</si>
  <si>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</si>
  <si>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</si>
  <si>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</si>
  <si>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</si>
  <si>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</si>
  <si>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</si>
  <si>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</si>
  <si>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</si>
  <si>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</si>
  <si>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</si>
  <si>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</si>
  <si>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</si>
  <si>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</si>
  <si>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</si>
  <si>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</si>
  <si>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</si>
  <si>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</si>
  <si>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</si>
  <si>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</si>
  <si>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</si>
  <si>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</si>
  <si>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</si>
  <si>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</si>
  <si>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</si>
  <si>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</si>
  <si>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</si>
  <si>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</si>
  <si>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</si>
  <si>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</si>
  <si>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</si>
  <si>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</si>
  <si>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</si>
  <si>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</si>
  <si>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</si>
  <si>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</si>
  <si>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</si>
  <si>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</si>
  <si>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</si>
  <si>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</si>
  <si>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</si>
  <si>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</si>
  <si>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</si>
  <si>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</si>
  <si>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</si>
  <si>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</si>
  <si>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</si>
  <si>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</si>
  <si>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</si>
  <si>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</si>
  <si>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</si>
  <si>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</si>
  <si>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</si>
  <si>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</si>
  <si>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</si>
  <si>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</si>
  <si>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</si>
  <si>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</si>
  <si>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</si>
  <si>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</si>
  <si>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</si>
  <si>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</si>
  <si>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</si>
  <si>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</si>
  <si>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</si>
  <si>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</si>
  <si>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</si>
  <si>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</si>
  <si>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</si>
  <si>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</si>
  <si>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</si>
  <si>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</si>
  <si>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</si>
  <si>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</si>
  <si>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</si>
  <si>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</si>
  <si>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</si>
  <si>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</si>
  <si>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</si>
  <si>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</si>
  <si>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</si>
  <si>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</si>
  <si>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</si>
  <si>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</si>
  <si>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</si>
  <si>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</si>
  <si>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</si>
  <si>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</si>
  <si>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</si>
  <si>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</si>
  <si>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</si>
  <si>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</si>
  <si>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</si>
  <si>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</si>
  <si>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</si>
  <si>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</si>
  <si>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</si>
  <si>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</si>
  <si>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</si>
  <si>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</si>
  <si>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</si>
  <si>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</si>
  <si>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</si>
  <si>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</si>
  <si>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</si>
  <si>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</si>
  <si>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</si>
  <si>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</si>
  <si>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</si>
  <si>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</si>
  <si>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</si>
  <si>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</si>
  <si>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</si>
  <si>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</si>
  <si>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</si>
  <si>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</si>
  <si>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</si>
  <si>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</si>
  <si>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</si>
  <si>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</si>
  <si>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</si>
  <si>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</si>
  <si>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</si>
  <si>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</si>
  <si>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</si>
  <si>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</si>
  <si>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</si>
  <si>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</si>
  <si>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</si>
  <si>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</si>
  <si>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</si>
  <si>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</si>
  <si>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</si>
  <si>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</si>
  <si>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</si>
  <si>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</si>
  <si>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</si>
  <si>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</si>
  <si>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</si>
  <si>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</si>
  <si>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</si>
  <si>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</si>
  <si>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</si>
  <si>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</si>
  <si>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</si>
  <si>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</si>
  <si>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</si>
  <si>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</si>
  <si>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</si>
  <si>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</si>
  <si>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</si>
  <si>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</si>
  <si>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</si>
  <si>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</si>
  <si>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</si>
  <si>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</si>
  <si>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</si>
  <si>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</si>
  <si>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</si>
  <si>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</si>
  <si>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</si>
  <si>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</si>
  <si>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</si>
  <si>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</si>
  <si>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</si>
  <si>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</si>
  <si>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</si>
  <si>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</si>
  <si>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</si>
  <si>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</si>
  <si>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</si>
  <si>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</si>
  <si>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</si>
  <si>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</si>
  <si>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</si>
  <si>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</si>
  <si>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</si>
  <si>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</si>
  <si>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</si>
  <si>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</si>
  <si>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</si>
  <si>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</si>
  <si>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</si>
  <si>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</si>
  <si>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</si>
  <si>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</si>
  <si>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</si>
  <si>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</si>
  <si>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</si>
  <si>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</si>
  <si>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</si>
  <si>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</si>
  <si>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</si>
  <si>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</si>
  <si>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</si>
  <si>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</si>
  <si>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</si>
  <si>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</si>
  <si>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</si>
  <si>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</si>
  <si>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</si>
  <si>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</si>
  <si>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</si>
  <si>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</si>
  <si>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</si>
  <si>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</si>
  <si>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</si>
  <si>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</si>
  <si>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</si>
  <si>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</si>
  <si>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</si>
  <si>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</si>
  <si>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</si>
  <si>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</si>
  <si>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</si>
  <si>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</si>
  <si>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</si>
  <si>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</si>
  <si>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</si>
  <si>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</si>
  <si>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</si>
  <si>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</si>
  <si>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</si>
  <si>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</si>
  <si>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</si>
  <si>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</si>
  <si>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</si>
  <si>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</si>
  <si>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</si>
  <si>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</si>
  <si>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</si>
  <si>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</si>
  <si>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</si>
  <si>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</si>
  <si>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</si>
  <si>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</si>
  <si>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</si>
  <si>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</si>
  <si>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</si>
  <si>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</si>
  <si>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</si>
  <si>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</si>
  <si>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</si>
  <si>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</si>
  <si>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</si>
  <si>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</si>
  <si>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</si>
  <si>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</si>
  <si>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</si>
  <si>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</si>
  <si>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</si>
  <si>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</si>
  <si>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</si>
  <si>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</si>
  <si>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</si>
  <si>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</si>
  <si>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</si>
  <si>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</si>
  <si>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</si>
  <si>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</si>
  <si>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</si>
  <si>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</si>
  <si>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</si>
  <si>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</si>
  <si>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</si>
  <si>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</si>
  <si>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</si>
  <si>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</si>
  <si>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</si>
  <si>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</si>
  <si>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</si>
  <si>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</si>
  <si>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</si>
  <si>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</si>
  <si>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</si>
  <si>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</si>
  <si>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</si>
  <si>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</si>
  <si>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</si>
  <si>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</si>
  <si>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</si>
  <si>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</si>
  <si>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</si>
  <si>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</si>
  <si>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</si>
  <si>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</si>
  <si>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</si>
  <si>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</si>
  <si>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</si>
  <si>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</si>
  <si>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</si>
  <si>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</si>
  <si>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</si>
  <si>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</si>
  <si>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</si>
  <si>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</si>
  <si>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</si>
  <si>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</si>
  <si>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</si>
  <si>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</si>
  <si>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</si>
  <si>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</si>
  <si>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</si>
  <si>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</si>
  <si>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</si>
  <si>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</si>
  <si>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</si>
  <si>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</si>
  <si>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</si>
  <si>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</si>
  <si>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</si>
  <si>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</si>
  <si>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</si>
  <si>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</si>
  <si>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</si>
  <si>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</si>
  <si>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</si>
  <si>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</si>
  <si>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</si>
  <si>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</si>
  <si>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</si>
  <si>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</si>
  <si>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</si>
  <si>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</si>
  <si>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</si>
  <si>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</si>
  <si>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</si>
  <si>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</si>
  <si>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</si>
  <si>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</si>
  <si>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</si>
  <si>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</si>
  <si>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</si>
  <si>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</si>
  <si>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</si>
  <si>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</si>
  <si>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</si>
  <si>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</si>
  <si>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</si>
  <si>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</si>
  <si>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</si>
  <si>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</si>
  <si>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</si>
  <si>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</si>
  <si>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</si>
  <si>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</si>
  <si>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</si>
  <si>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</si>
  <si>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</si>
  <si>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</si>
  <si>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</si>
  <si>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</si>
  <si>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</si>
  <si>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</si>
  <si>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</si>
  <si>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</si>
  <si>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</si>
  <si>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</si>
  <si>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</si>
  <si>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</si>
  <si>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</si>
  <si>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</si>
  <si>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</si>
  <si>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</si>
  <si>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</si>
  <si>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</si>
  <si>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</si>
  <si>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</si>
  <si>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</si>
  <si>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</si>
  <si>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</si>
  <si>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</si>
  <si>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</si>
  <si>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</si>
  <si>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</si>
  <si>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</si>
  <si>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</si>
  <si>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</si>
  <si>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</si>
  <si>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</si>
  <si>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</si>
  <si>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</si>
  <si>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</si>
  <si>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</si>
  <si>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</si>
  <si>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</si>
  <si>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</si>
  <si>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</si>
  <si>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</si>
  <si>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</si>
  <si>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</si>
  <si>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</si>
  <si>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</si>
  <si>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</si>
  <si>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</si>
  <si>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</si>
  <si>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</si>
  <si>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</si>
  <si>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</si>
  <si>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</si>
  <si>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</si>
  <si>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</si>
  <si>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</si>
  <si>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</si>
  <si>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</si>
  <si>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</si>
  <si>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</si>
  <si>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</si>
  <si>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</si>
  <si>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</si>
  <si>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</si>
  <si>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</si>
  <si>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</si>
  <si>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</si>
  <si>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</si>
  <si>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</si>
  <si>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</si>
  <si>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</si>
  <si>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</si>
  <si>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</si>
  <si>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</si>
  <si>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</si>
  <si>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</si>
  <si>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</si>
  <si>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</si>
  <si>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</si>
  <si>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</si>
  <si>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</si>
  <si>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</si>
  <si>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</si>
  <si>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</si>
  <si>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</si>
  <si>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</si>
  <si>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</si>
  <si>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</si>
  <si>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</si>
  <si>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</si>
  <si>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</si>
  <si>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</si>
  <si>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</si>
  <si>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</si>
  <si>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</si>
  <si>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</si>
  <si>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</si>
  <si>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</si>
  <si>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</si>
  <si>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</si>
  <si>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</si>
  <si>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</si>
  <si>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</si>
  <si>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</si>
  <si>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</si>
  <si>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</si>
  <si>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</si>
  <si>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</si>
  <si>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</si>
  <si>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</si>
  <si>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</si>
  <si>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</si>
  <si>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</si>
  <si>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</si>
  <si>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</si>
  <si>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</si>
  <si>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</si>
  <si>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</si>
  <si>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</si>
  <si>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</si>
  <si>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</si>
  <si>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</si>
  <si>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</si>
  <si>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</si>
  <si>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</si>
  <si>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</si>
  <si>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</si>
  <si>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</si>
  <si>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</si>
  <si>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</si>
  <si>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</si>
  <si>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</si>
  <si>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</si>
  <si>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</si>
  <si>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</si>
  <si>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</si>
  <si>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</si>
  <si>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</si>
  <si>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</si>
  <si>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</si>
  <si>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</si>
  <si>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</si>
  <si>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</si>
  <si>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</si>
  <si>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</si>
  <si>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</si>
  <si>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</si>
  <si>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</si>
  <si>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</si>
  <si>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</si>
  <si>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</si>
  <si>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</si>
  <si>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</si>
  <si>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</si>
  <si>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</si>
  <si>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</si>
  <si>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</si>
  <si>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</si>
  <si>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</si>
  <si>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</si>
  <si>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</si>
  <si>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</si>
  <si>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</si>
  <si>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</si>
  <si>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</si>
  <si>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</si>
  <si>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</si>
  <si>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</si>
  <si>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</si>
  <si>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</si>
  <si>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</si>
  <si>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</si>
  <si>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</si>
  <si>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</si>
  <si>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</si>
  <si>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</si>
  <si>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</si>
  <si>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</si>
  <si>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</si>
  <si>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</si>
  <si>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</si>
  <si>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</si>
  <si>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</si>
  <si>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</si>
  <si>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</si>
  <si>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</si>
  <si>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</si>
  <si>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</si>
  <si>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</si>
  <si>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</si>
  <si>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</si>
  <si>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</si>
  <si>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</si>
  <si>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</si>
  <si>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</si>
  <si>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</si>
  <si>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</si>
  <si>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</si>
  <si>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</si>
  <si>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</si>
  <si>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</si>
  <si>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</si>
  <si>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</si>
  <si>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</si>
  <si>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</si>
  <si>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</si>
  <si>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</si>
  <si>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</si>
  <si>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</si>
  <si>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</si>
  <si>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</si>
  <si>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</si>
  <si>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</si>
  <si>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</si>
  <si>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</si>
  <si>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</si>
  <si>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</si>
  <si>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</si>
  <si>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</si>
  <si>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</si>
  <si>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</si>
  <si>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</si>
  <si>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</si>
  <si>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</si>
  <si>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</si>
  <si>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</si>
  <si>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</si>
  <si>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</si>
  <si>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</si>
  <si>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</si>
  <si>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</si>
  <si>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</si>
  <si>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</si>
  <si>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</si>
  <si>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</si>
  <si>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</si>
  <si>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</si>
  <si>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</si>
  <si>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</si>
  <si>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</si>
  <si>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</si>
  <si>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</si>
  <si>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</si>
  <si>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</si>
  <si>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</si>
  <si>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</si>
  <si>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</si>
  <si>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</si>
  <si>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</si>
  <si>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</si>
  <si>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</si>
  <si>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</si>
  <si>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</si>
  <si>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</si>
  <si>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</si>
  <si>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</si>
  <si>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</si>
  <si>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</si>
  <si>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</si>
  <si>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</si>
  <si>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</si>
  <si>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</si>
  <si>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</si>
  <si>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</si>
  <si>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</si>
  <si>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</si>
  <si>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</si>
  <si>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</si>
  <si>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</si>
  <si>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</si>
  <si>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</si>
  <si>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</si>
  <si>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</si>
  <si>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</si>
  <si>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</si>
  <si>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</si>
  <si>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</si>
  <si>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</si>
  <si>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</si>
  <si>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</si>
  <si>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</si>
  <si>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</si>
  <si>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</si>
  <si>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</si>
  <si>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</si>
  <si>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</si>
  <si>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</si>
  <si>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</si>
  <si>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</si>
  <si>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</si>
  <si>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</si>
  <si>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</si>
  <si>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</si>
  <si>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</si>
  <si>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</si>
  <si>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</si>
  <si>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</si>
  <si>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</si>
  <si>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</si>
  <si>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</si>
  <si>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</si>
  <si>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</si>
  <si>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</si>
  <si>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</si>
  <si>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</si>
  <si>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</si>
  <si>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</si>
  <si>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</si>
  <si>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</si>
  <si>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</si>
  <si>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</si>
  <si>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</si>
  <si>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</si>
  <si>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</si>
  <si>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</si>
  <si>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</si>
  <si>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</si>
  <si>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</si>
  <si>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</si>
  <si>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</si>
  <si>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</si>
  <si>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</si>
  <si>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</si>
  <si>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</si>
  <si>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</si>
  <si>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</si>
  <si>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</si>
  <si>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</si>
  <si>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</si>
  <si>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</si>
  <si>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</si>
  <si>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</si>
  <si>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</si>
  <si>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</si>
  <si>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</si>
  <si>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</si>
  <si>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</si>
  <si>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</si>
  <si>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</si>
  <si>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</si>
  <si>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</si>
  <si>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</si>
  <si>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</si>
  <si>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</si>
  <si>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</si>
  <si>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</si>
  <si>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</si>
  <si>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</si>
  <si>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</si>
  <si>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</si>
  <si>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</si>
  <si>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</si>
  <si>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</si>
  <si>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</si>
  <si>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</si>
  <si>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</si>
  <si>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</si>
  <si>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</si>
  <si>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</si>
  <si>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</si>
  <si>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</si>
  <si>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</si>
  <si>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</si>
  <si>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</si>
  <si>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</si>
  <si>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</si>
  <si>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</si>
  <si>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</si>
  <si>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</si>
  <si>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</si>
  <si>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</si>
  <si>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</si>
  <si>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</si>
  <si>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</si>
  <si>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</si>
  <si>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</si>
  <si>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</si>
  <si>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</si>
  <si>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</si>
  <si>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</si>
  <si>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</si>
  <si>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</si>
  <si>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</si>
  <si>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</si>
  <si>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</si>
  <si>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</si>
  <si>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</si>
  <si>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</si>
  <si>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</si>
  <si>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</si>
  <si>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</si>
  <si>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</si>
  <si>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</si>
  <si>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</si>
  <si>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</si>
  <si>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</si>
  <si>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</si>
  <si>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</si>
  <si>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</si>
  <si>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</si>
  <si>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</si>
  <si>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</si>
  <si>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</si>
  <si>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</si>
  <si>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</si>
  <si>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</si>
  <si>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</si>
  <si>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</si>
  <si>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</si>
  <si>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</si>
  <si>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</si>
  <si>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</si>
  <si>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</si>
  <si>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</si>
  <si>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</si>
  <si>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</si>
  <si>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</si>
  <si>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</si>
  <si>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</si>
  <si>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</si>
  <si>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</si>
  <si>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</si>
  <si>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</si>
  <si>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</si>
  <si>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</si>
  <si>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</si>
  <si>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</si>
  <si>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</si>
  <si>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</si>
  <si>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</si>
  <si>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</si>
  <si>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</si>
  <si>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</si>
  <si>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</si>
  <si>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</si>
  <si>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</si>
  <si>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</si>
  <si>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</si>
  <si>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</si>
  <si>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</si>
  <si>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</si>
  <si>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</si>
  <si>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</si>
  <si>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</si>
  <si>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</si>
  <si>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</si>
  <si>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</si>
  <si>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</si>
  <si>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</si>
  <si>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</si>
  <si>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</si>
  <si>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</si>
  <si>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</si>
  <si>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</si>
  <si>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</si>
  <si>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</si>
  <si>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</si>
  <si>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</si>
  <si>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</si>
  <si>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</si>
  <si>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</si>
  <si>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</si>
  <si>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</si>
  <si>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</si>
  <si>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</si>
  <si>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</si>
  <si>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</si>
  <si>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</si>
  <si>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</si>
  <si>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</si>
  <si>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</si>
  <si>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</si>
  <si>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</si>
  <si>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</si>
  <si>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</si>
  <si>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</si>
  <si>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</si>
  <si>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</si>
  <si>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</si>
  <si>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</si>
  <si>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</si>
  <si>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</si>
  <si>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</si>
  <si>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</si>
  <si>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</si>
  <si>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</si>
  <si>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</si>
  <si>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</si>
  <si>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</si>
  <si>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</si>
  <si>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</si>
  <si>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</si>
  <si>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</si>
  <si>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</si>
  <si>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</si>
  <si>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</si>
  <si>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</si>
  <si>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</si>
  <si>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</si>
  <si>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</si>
  <si>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</si>
  <si>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</si>
  <si>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</si>
  <si>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</si>
  <si>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</si>
  <si>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</si>
  <si>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</si>
  <si>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</si>
  <si>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</si>
  <si>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</si>
  <si>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</si>
  <si>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</si>
  <si>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</si>
  <si>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</si>
  <si>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</si>
  <si>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</si>
  <si>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</si>
  <si>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</si>
  <si>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</si>
  <si>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</si>
  <si>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</si>
  <si>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</si>
  <si>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</si>
  <si>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</si>
  <si>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</si>
  <si>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</si>
  <si>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</si>
  <si>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</si>
  <si>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</si>
  <si>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</si>
  <si>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</si>
  <si>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</si>
  <si>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</si>
  <si>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</si>
  <si>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</si>
  <si>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</si>
  <si>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</si>
  <si>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</si>
  <si>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</si>
  <si>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</si>
  <si>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</si>
  <si>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</si>
  <si>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</si>
  <si>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</si>
  <si>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</si>
  <si>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</si>
  <si>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</si>
  <si>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</si>
  <si>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</si>
  <si>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</si>
  <si>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</si>
  <si>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</si>
  <si>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</si>
  <si>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</si>
  <si>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</si>
  <si>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</si>
  <si>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</si>
  <si>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</si>
  <si>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</si>
  <si>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</si>
  <si>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</si>
  <si>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</si>
  <si>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</si>
  <si>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</si>
  <si>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</si>
  <si>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</si>
  <si>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</si>
  <si>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</si>
  <si>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</si>
  <si>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</si>
  <si>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</si>
  <si>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</si>
  <si>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</si>
  <si>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</si>
  <si>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</si>
  <si>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</si>
  <si>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</si>
  <si>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</si>
  <si>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</si>
  <si>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</si>
  <si>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</si>
  <si>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</si>
  <si>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</si>
  <si>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</si>
  <si>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</si>
  <si>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</si>
  <si>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</si>
  <si>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</si>
  <si>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</si>
  <si>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</si>
  <si>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</si>
  <si>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</si>
  <si>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</si>
  <si>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</si>
  <si>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</si>
  <si>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</si>
  <si>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</si>
  <si>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</si>
  <si>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</si>
  <si>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</si>
  <si>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</si>
  <si>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</si>
  <si>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</si>
  <si>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</si>
  <si>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</si>
  <si>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</si>
  <si>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</si>
  <si>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</si>
  <si>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</si>
  <si>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</si>
  <si>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</si>
  <si>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</si>
  <si>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</si>
  <si>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</si>
  <si>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</si>
  <si>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</si>
  <si>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</si>
  <si>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</si>
  <si>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</si>
  <si>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</si>
  <si>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</si>
  <si>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</si>
  <si>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</si>
  <si>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</si>
  <si>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</si>
  <si>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</si>
  <si>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</si>
  <si>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</si>
  <si>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</si>
  <si>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</si>
  <si>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</si>
  <si>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</si>
  <si>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</si>
  <si>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</si>
  <si>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</si>
  <si>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</si>
  <si>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</si>
  <si>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</si>
  <si>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</si>
  <si>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</si>
  <si>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</si>
  <si>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</si>
  <si>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</si>
  <si>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</si>
  <si>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</si>
  <si>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</si>
  <si>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</si>
  <si>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</si>
  <si>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</si>
  <si>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</si>
  <si>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</si>
  <si>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</si>
  <si>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</si>
  <si>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</si>
  <si>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</si>
  <si>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</si>
  <si>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</si>
  <si>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</si>
  <si>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</si>
  <si>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</si>
  <si>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</si>
  <si>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</si>
  <si>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</si>
  <si>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</si>
  <si>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</si>
  <si>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</si>
  <si>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</si>
  <si>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</si>
  <si>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</si>
  <si>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</si>
  <si>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</si>
  <si>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</si>
  <si>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</si>
  <si>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</si>
  <si>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</si>
  <si>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</si>
  <si>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</si>
  <si>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</si>
  <si>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</si>
  <si>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</si>
  <si>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</si>
  <si>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</si>
  <si>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</si>
  <si>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</si>
  <si>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</si>
  <si>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</si>
  <si>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</si>
  <si>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</si>
  <si>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</si>
  <si>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</si>
  <si>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</si>
  <si>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</si>
  <si>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</si>
  <si>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</si>
  <si>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</si>
  <si>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</si>
  <si>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</si>
  <si>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</si>
  <si>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</si>
  <si>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</si>
  <si>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</si>
  <si>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</si>
  <si>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</si>
  <si>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</si>
  <si>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</si>
  <si>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</si>
  <si>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</si>
  <si>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</si>
  <si>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</si>
  <si>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</si>
  <si>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</si>
  <si>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</si>
  <si>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</si>
  <si>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</si>
  <si>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</si>
  <si>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</si>
  <si>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</si>
  <si>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</si>
  <si>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</si>
  <si>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</si>
  <si>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</si>
  <si>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</si>
  <si>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</si>
  <si>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</si>
  <si>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</si>
  <si>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</si>
  <si>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</si>
  <si>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</si>
  <si>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</si>
  <si>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</si>
  <si>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</si>
  <si>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</si>
  <si>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</si>
  <si>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</si>
  <si>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</si>
  <si>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</si>
  <si>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</si>
  <si>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</si>
  <si>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</si>
  <si>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</si>
  <si>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</si>
  <si>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</si>
  <si>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</si>
  <si>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</si>
  <si>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</si>
  <si>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</si>
  <si>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</si>
  <si>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</si>
  <si>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</si>
  <si>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</si>
  <si>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</si>
  <si>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</si>
  <si>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</si>
  <si>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</si>
  <si>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</si>
  <si>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</si>
  <si>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</si>
  <si>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</si>
  <si>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</si>
  <si>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</si>
  <si>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</si>
  <si>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</si>
  <si>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</si>
  <si>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</si>
  <si>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</si>
  <si>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</si>
  <si>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</si>
  <si>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</si>
  <si>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</si>
  <si>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</si>
  <si>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</si>
  <si>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</si>
  <si>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</si>
  <si>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</si>
  <si>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</si>
  <si>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</si>
  <si>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</si>
  <si>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</si>
  <si>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</si>
  <si>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</si>
  <si>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</si>
  <si>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</si>
  <si>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</si>
  <si>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</si>
  <si>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</si>
  <si>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</si>
  <si>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</si>
  <si>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</si>
  <si>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</si>
  <si>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</si>
  <si>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</si>
  <si>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</si>
  <si>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</si>
  <si>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</si>
  <si>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</si>
  <si>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</si>
  <si>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</si>
  <si>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</si>
  <si>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</si>
  <si>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</si>
  <si>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</si>
  <si>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</si>
  <si>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</si>
  <si>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</si>
  <si>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</si>
  <si>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</si>
  <si>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</si>
  <si>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</si>
  <si>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</si>
  <si>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</si>
  <si>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</si>
  <si>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</si>
  <si>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</si>
  <si>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</si>
  <si>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</si>
  <si>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</si>
  <si>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</si>
  <si>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</si>
  <si>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</si>
  <si>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</si>
  <si>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</si>
  <si>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</si>
  <si>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</si>
  <si>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</si>
  <si>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</si>
  <si>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</si>
  <si>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</si>
  <si>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</si>
  <si>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</si>
  <si>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</si>
  <si>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</si>
  <si>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</si>
  <si>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</si>
  <si>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</si>
  <si>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</si>
  <si>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</si>
  <si>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</si>
  <si>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</si>
  <si>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</si>
  <si>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</si>
  <si>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</si>
  <si>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</si>
  <si>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</si>
  <si>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</si>
  <si>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</si>
  <si>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</si>
  <si>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</si>
  <si>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</si>
  <si>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</si>
  <si>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</si>
  <si>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</si>
  <si>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</si>
  <si>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</si>
  <si>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</si>
  <si>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</si>
  <si>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</si>
  <si>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</si>
  <si>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</si>
  <si>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</si>
  <si>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</si>
  <si>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</si>
  <si>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</si>
  <si>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</si>
  <si>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</si>
  <si>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</si>
  <si>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</si>
  <si>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</si>
  <si>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</si>
  <si>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</si>
  <si>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</si>
  <si>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</si>
  <si>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</si>
  <si>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</si>
  <si>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</si>
  <si>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</si>
  <si>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</si>
  <si>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</si>
  <si>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</si>
  <si>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</si>
  <si>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</si>
  <si>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</si>
  <si>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</si>
  <si>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</si>
  <si>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</si>
  <si>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</si>
  <si>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</si>
  <si>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</si>
  <si>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</si>
  <si>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</si>
  <si>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</si>
  <si>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</si>
  <si>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</si>
  <si>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</si>
  <si>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</si>
  <si>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</si>
  <si>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</si>
  <si>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</si>
  <si>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</si>
  <si>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</si>
  <si>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</si>
  <si>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</si>
  <si>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</si>
  <si>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</si>
  <si>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</si>
  <si>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</si>
  <si>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</si>
  <si>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</si>
  <si>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</si>
  <si>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</si>
  <si>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</si>
  <si>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</si>
  <si>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</si>
  <si>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</si>
  <si>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</si>
  <si>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</si>
  <si>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</si>
  <si>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</si>
  <si>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</si>
  <si>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</si>
  <si>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</si>
  <si>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</si>
  <si>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</si>
  <si>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</si>
  <si>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</si>
  <si>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</si>
  <si>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</si>
  <si>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</si>
  <si>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</si>
  <si>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</si>
  <si>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</si>
  <si>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</si>
  <si>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</si>
  <si>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</si>
  <si>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</si>
  <si>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</si>
  <si>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</si>
  <si>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</si>
  <si>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</si>
  <si>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</si>
  <si>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</si>
  <si>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</si>
  <si>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</si>
  <si>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</si>
  <si>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</si>
  <si>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</si>
  <si>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</si>
  <si>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</si>
  <si>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</si>
  <si>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</si>
  <si>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</si>
  <si>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</si>
  <si>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</si>
  <si>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</si>
  <si>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</si>
  <si>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</si>
  <si>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</si>
  <si>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</si>
  <si>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</si>
  <si>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</si>
  <si>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</si>
  <si>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</si>
  <si>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</si>
  <si>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</si>
  <si>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</si>
  <si>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</si>
  <si>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</si>
  <si>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</si>
  <si>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</si>
  <si>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</si>
  <si>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</si>
  <si>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</si>
  <si>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</si>
  <si>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</si>
  <si>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</si>
  <si>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</si>
  <si>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</si>
  <si>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</si>
  <si>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</si>
  <si>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</si>
  <si>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</si>
  <si>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</si>
  <si>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</si>
  <si>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</si>
  <si>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</si>
  <si>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</si>
  <si>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</si>
  <si>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</si>
  <si>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</si>
  <si>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</si>
  <si>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</si>
  <si>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</si>
  <si>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</si>
  <si>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</si>
  <si>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</si>
  <si>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</si>
  <si>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</si>
  <si>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</si>
  <si>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</si>
  <si>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</si>
  <si>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</si>
  <si>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</si>
  <si>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</si>
  <si>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</si>
  <si>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</si>
  <si>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</si>
  <si>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</si>
  <si>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</si>
  <si>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</si>
  <si>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</si>
  <si>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</si>
  <si>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</si>
  <si>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</si>
  <si>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</si>
  <si>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</si>
  <si>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</si>
  <si>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</si>
  <si>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</si>
  <si>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</si>
  <si>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</si>
  <si>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</si>
  <si>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</si>
  <si>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</si>
  <si>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</si>
  <si>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</si>
  <si>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</si>
  <si>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</si>
  <si>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</si>
  <si>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</si>
  <si>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</si>
  <si>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</si>
  <si>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</si>
  <si>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</si>
  <si>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</si>
  <si>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</si>
  <si>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</si>
  <si>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</si>
  <si>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</si>
  <si>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</si>
  <si>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</si>
  <si>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</si>
  <si>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</si>
  <si>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</si>
  <si>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</si>
  <si>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</si>
  <si>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</si>
  <si>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</si>
  <si>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</si>
  <si>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</si>
  <si>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</si>
  <si>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</si>
  <si>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</si>
  <si>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</si>
  <si>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</si>
  <si>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</si>
  <si>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</si>
  <si>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</si>
  <si>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</si>
  <si>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</si>
  <si>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</si>
  <si>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</si>
  <si>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</si>
  <si>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</si>
  <si>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</si>
  <si>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</si>
  <si>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</si>
  <si>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</si>
  <si>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</si>
  <si>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</si>
  <si>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</si>
  <si>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</si>
  <si>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</si>
  <si>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</si>
  <si>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</si>
  <si>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</si>
  <si>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</si>
  <si>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</si>
  <si>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</si>
  <si>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</si>
  <si>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</si>
  <si>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</si>
  <si>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</si>
  <si>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</si>
  <si>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</si>
  <si>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</si>
  <si>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</si>
  <si>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</si>
  <si>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</si>
  <si>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</si>
  <si>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</si>
  <si>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</si>
  <si>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</si>
  <si>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</si>
  <si>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</si>
  <si>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</si>
  <si>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</si>
  <si>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</si>
  <si>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</si>
  <si>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</si>
  <si>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</si>
  <si>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</si>
  <si>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</si>
  <si>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</si>
  <si>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</si>
  <si>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</si>
  <si>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</si>
  <si>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</si>
  <si>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</si>
  <si>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</si>
  <si>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</si>
  <si>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</si>
  <si>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</si>
  <si>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</si>
  <si>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</si>
  <si>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</si>
  <si>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</si>
  <si>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</si>
  <si>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</si>
  <si>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</si>
  <si>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</si>
  <si>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</si>
  <si>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</si>
  <si>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</si>
  <si>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</si>
  <si>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</si>
  <si>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</si>
  <si>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</si>
  <si>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</si>
  <si>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</si>
  <si>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</si>
  <si>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</si>
  <si>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</si>
  <si>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</si>
  <si>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</si>
  <si>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</si>
  <si>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</si>
  <si>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</si>
  <si>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</si>
  <si>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</si>
  <si>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</si>
  <si>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</si>
  <si>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</si>
  <si>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</si>
  <si>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</si>
  <si>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</si>
  <si>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</si>
  <si>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</si>
  <si>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</si>
  <si>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</si>
  <si>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</si>
  <si>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</si>
  <si>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</si>
  <si>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</si>
  <si>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</si>
  <si>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</si>
  <si>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</si>
  <si>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</si>
  <si>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</si>
  <si>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</si>
  <si>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</si>
  <si>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</si>
  <si>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</si>
  <si>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</si>
  <si>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</si>
  <si>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</si>
  <si>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</si>
  <si>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</si>
  <si>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</si>
  <si>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</si>
  <si>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</si>
  <si>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</si>
  <si>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</si>
  <si>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</si>
  <si>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</si>
  <si>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</si>
  <si>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</si>
  <si>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</si>
  <si>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</si>
  <si>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</si>
  <si>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</si>
  <si>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</si>
  <si>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</si>
  <si>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</si>
  <si>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</si>
  <si>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</si>
  <si>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</si>
  <si>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</si>
  <si>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</si>
  <si>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</si>
  <si>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</si>
  <si>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</si>
  <si>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</si>
  <si>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</si>
  <si>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</si>
  <si>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</si>
  <si>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</si>
  <si>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</si>
  <si>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</si>
  <si>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</si>
  <si>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</si>
  <si>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</si>
  <si>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</si>
  <si>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</si>
  <si>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</si>
  <si>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</si>
  <si>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</si>
  <si>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</si>
  <si>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</si>
  <si>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</si>
  <si>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</si>
  <si>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</si>
  <si>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</si>
  <si>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</si>
  <si>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</si>
  <si>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</si>
  <si>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</si>
  <si>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</si>
  <si>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</si>
  <si>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</si>
  <si>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</si>
  <si>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</si>
  <si>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</si>
  <si>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</si>
  <si>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</si>
  <si>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</si>
  <si>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</si>
  <si>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</si>
  <si>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</si>
  <si>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</si>
  <si>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</si>
  <si>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</si>
  <si>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</si>
  <si>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</si>
  <si>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</si>
  <si>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</si>
  <si>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</si>
  <si>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</si>
  <si>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</si>
  <si>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</si>
  <si>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</si>
  <si>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</si>
  <si>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</si>
  <si>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</si>
  <si>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</si>
  <si>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</si>
  <si>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</si>
  <si>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</si>
  <si>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</si>
  <si>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</si>
  <si>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</si>
  <si>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</si>
  <si>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</si>
  <si>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</si>
  <si>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</si>
  <si>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</si>
  <si>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</si>
  <si>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</si>
  <si>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</si>
  <si>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</si>
  <si>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</si>
  <si>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</si>
  <si>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</si>
  <si>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</si>
  <si>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</si>
  <si>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</si>
  <si>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</si>
  <si>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</si>
  <si>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</si>
  <si>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</si>
  <si>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</si>
  <si>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</si>
  <si>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</si>
  <si>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</si>
  <si>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</si>
  <si>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</si>
  <si>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</si>
  <si>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</si>
  <si>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</si>
  <si>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</si>
  <si>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</si>
  <si>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</si>
  <si>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</si>
  <si>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</si>
  <si>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</si>
  <si>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</si>
  <si>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</si>
  <si>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</si>
  <si>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</si>
  <si>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</si>
  <si>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</si>
  <si>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</si>
  <si>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</si>
  <si>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</si>
  <si>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</si>
  <si>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</si>
  <si>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</si>
  <si>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</si>
  <si>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</si>
  <si>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</si>
  <si>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</si>
  <si>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</si>
  <si>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</si>
  <si>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</si>
  <si>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</si>
  <si>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</si>
  <si>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</si>
  <si>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</si>
  <si>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</si>
  <si>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</si>
  <si>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</si>
  <si>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</si>
  <si>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</si>
  <si>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</si>
  <si>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</si>
  <si>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</si>
  <si>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</si>
  <si>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</si>
  <si>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</si>
  <si>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</si>
  <si>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</si>
  <si>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</si>
  <si>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</si>
  <si>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</si>
  <si>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</si>
  <si>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</si>
  <si>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</si>
  <si>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</si>
  <si>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</si>
  <si>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</si>
  <si>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</si>
  <si>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</si>
  <si>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</si>
  <si>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</si>
  <si>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</si>
  <si>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</si>
  <si>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</si>
  <si>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</si>
  <si>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</si>
  <si>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</si>
  <si>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</si>
  <si>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</si>
  <si>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</si>
  <si>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</si>
  <si>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</si>
  <si>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</si>
  <si>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</si>
  <si>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</si>
  <si>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</si>
  <si>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</si>
  <si>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</si>
  <si>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</si>
  <si>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</si>
  <si>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</si>
  <si>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</si>
  <si>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</si>
  <si>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</si>
  <si>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</si>
  <si>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</si>
  <si>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</si>
  <si>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</si>
  <si>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</si>
  <si>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</si>
  <si>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</si>
  <si>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</si>
  <si>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</si>
  <si>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</si>
  <si>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</si>
  <si>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</si>
  <si>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</si>
  <si>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</si>
  <si>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</si>
  <si>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</si>
  <si>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</si>
  <si>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</si>
  <si>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</si>
  <si>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</si>
  <si>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</si>
  <si>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</si>
  <si>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</si>
  <si>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</si>
  <si>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</si>
  <si>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</si>
  <si>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</si>
  <si>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</si>
  <si>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</si>
  <si>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</si>
  <si>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</si>
  <si>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</si>
  <si>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</si>
  <si>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</si>
  <si>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</si>
  <si>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</si>
  <si>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</si>
  <si>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</si>
  <si>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</si>
  <si>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</si>
  <si>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</si>
  <si>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</si>
  <si>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</si>
  <si>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</si>
  <si>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</si>
  <si>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</si>
  <si>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</si>
  <si>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</si>
  <si>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</si>
  <si>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</si>
  <si>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</si>
  <si>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</si>
  <si>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</si>
  <si>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</si>
  <si>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</si>
  <si>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</si>
  <si>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</si>
  <si>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</si>
  <si>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</si>
  <si>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</si>
  <si>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</si>
  <si>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</si>
  <si>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</si>
  <si>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</si>
  <si>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</si>
  <si>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</si>
  <si>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</si>
  <si>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</si>
  <si>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</si>
  <si>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</si>
  <si>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</si>
  <si>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</si>
  <si>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</si>
  <si>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</si>
  <si>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</si>
  <si>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</si>
  <si>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</si>
  <si>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</si>
  <si>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</si>
  <si>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</si>
  <si>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</si>
  <si>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</si>
  <si>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</si>
  <si>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</si>
  <si>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</si>
  <si>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</si>
  <si>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</si>
  <si>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</si>
  <si>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</si>
  <si>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</si>
  <si>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</si>
  <si>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</si>
  <si>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</si>
  <si>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</si>
  <si>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</si>
  <si>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</si>
  <si>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</si>
  <si>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</si>
  <si>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</si>
  <si>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</si>
  <si>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</si>
  <si>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</si>
  <si>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</si>
  <si>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</si>
  <si>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</si>
  <si>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</si>
  <si>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</si>
  <si>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</si>
  <si>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</si>
  <si>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</si>
  <si>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</si>
  <si>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</si>
  <si>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</si>
  <si>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</si>
  <si>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</si>
  <si>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</si>
  <si>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</si>
  <si>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</si>
  <si>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</si>
  <si>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</si>
  <si>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</si>
  <si>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</si>
  <si>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</si>
  <si>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</si>
  <si>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</si>
  <si>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</si>
  <si>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</si>
  <si>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</si>
  <si>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</si>
  <si>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</si>
  <si>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</si>
  <si>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</si>
  <si>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</si>
  <si>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</si>
  <si>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</si>
  <si>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</si>
  <si>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</si>
  <si>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</si>
  <si>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</si>
  <si>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</si>
  <si>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</si>
  <si>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</si>
  <si>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</si>
  <si>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</si>
  <si>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</si>
  <si>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</si>
  <si>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</si>
  <si>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</si>
  <si>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</si>
  <si>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</si>
  <si>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</si>
  <si>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</si>
  <si>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</si>
  <si>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</si>
  <si>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</si>
  <si>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</si>
  <si>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</si>
  <si>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</si>
  <si>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</si>
  <si>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</si>
  <si>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</si>
  <si>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</si>
  <si>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</si>
  <si>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</si>
  <si>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</si>
  <si>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</si>
  <si>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</si>
  <si>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</si>
  <si>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</si>
  <si>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</si>
  <si>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</si>
  <si>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</si>
  <si>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</si>
  <si>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</si>
  <si>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</si>
  <si>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</si>
  <si>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</si>
  <si>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</si>
  <si>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</si>
  <si>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</si>
  <si>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</si>
  <si>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</si>
  <si>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</si>
  <si>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</si>
  <si>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</si>
  <si>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</si>
  <si>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</si>
  <si>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</si>
  <si>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</si>
  <si>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</si>
  <si>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</si>
  <si>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</si>
  <si>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</si>
  <si>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</si>
  <si>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</si>
  <si>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</si>
  <si>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</si>
  <si>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</si>
  <si>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</si>
  <si>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</si>
  <si>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</si>
  <si>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</si>
  <si>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</si>
  <si>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</si>
  <si>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</si>
  <si>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</si>
  <si>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</si>
  <si>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</si>
  <si>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</si>
  <si>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</si>
  <si>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</si>
  <si>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</si>
  <si>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</si>
  <si>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</si>
  <si>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</si>
  <si>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</si>
  <si>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</si>
  <si>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</si>
  <si>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</si>
  <si>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</si>
  <si>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</si>
  <si>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</si>
  <si>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</si>
  <si>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</si>
  <si>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</si>
  <si>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</si>
  <si>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</si>
  <si>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</si>
  <si>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</si>
  <si>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</si>
  <si>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</si>
  <si>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</si>
  <si>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</si>
  <si>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</si>
  <si>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</si>
  <si>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</si>
  <si>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</si>
  <si>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</si>
  <si>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</si>
  <si>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</si>
  <si>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</si>
  <si>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</si>
  <si>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</si>
  <si>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</si>
  <si>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</si>
  <si>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</si>
  <si>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</si>
  <si>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</si>
  <si>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</si>
  <si>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</si>
  <si>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</si>
  <si>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</si>
  <si>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</si>
  <si>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</si>
  <si>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</si>
  <si>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</si>
  <si>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</si>
  <si>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</si>
  <si>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</si>
  <si>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</si>
  <si>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</si>
  <si>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</si>
  <si>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</si>
  <si>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</si>
  <si>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</si>
  <si>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</si>
  <si>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</si>
  <si>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</si>
  <si>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</si>
  <si>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</si>
  <si>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</si>
  <si>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</si>
  <si>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</si>
  <si>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</si>
  <si>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</si>
  <si>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</si>
  <si>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</si>
  <si>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</si>
  <si>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</si>
  <si>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</si>
  <si>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</si>
  <si>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</si>
  <si>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</si>
  <si>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</si>
  <si>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</si>
  <si>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</si>
  <si>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</si>
  <si>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</si>
  <si>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</si>
  <si>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</si>
  <si>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</si>
  <si>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</si>
  <si>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</si>
  <si>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</si>
  <si>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</si>
  <si>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</si>
  <si>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</si>
  <si>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</si>
  <si>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</si>
  <si>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</si>
  <si>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</si>
  <si>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</si>
  <si>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</si>
  <si>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</si>
  <si>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</si>
  <si>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</si>
  <si>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</si>
  <si>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</si>
  <si>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</si>
  <si>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</si>
  <si>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</si>
  <si>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</si>
  <si>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</si>
  <si>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</si>
  <si>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</si>
  <si>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</si>
  <si>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</si>
  <si>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</si>
  <si>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</si>
  <si>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</si>
  <si>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</si>
  <si>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</si>
  <si>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</si>
  <si>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</si>
  <si>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</si>
  <si>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</si>
  <si>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</si>
  <si>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</si>
  <si>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</si>
  <si>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</si>
  <si>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</si>
  <si>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</si>
  <si>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</si>
  <si>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</si>
  <si>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</si>
  <si>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</si>
  <si>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</si>
  <si>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</si>
  <si>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</si>
  <si>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</si>
  <si>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</si>
  <si>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</si>
  <si>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</si>
  <si>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</si>
  <si>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</si>
  <si>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</si>
  <si>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</si>
  <si>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</si>
  <si>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</si>
  <si>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</si>
  <si>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</si>
  <si>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</si>
  <si>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</si>
  <si>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</si>
  <si>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</si>
  <si>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</si>
  <si>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</si>
  <si>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</si>
  <si>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</si>
  <si>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</si>
  <si>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</si>
  <si>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</si>
  <si>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</si>
  <si>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</si>
  <si>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</si>
  <si>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</si>
  <si>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</si>
  <si>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</si>
  <si>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</si>
  <si>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</si>
  <si>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</si>
  <si>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</si>
  <si>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</si>
  <si>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</si>
  <si>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</si>
  <si>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</si>
  <si>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</si>
  <si>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</si>
  <si>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</si>
  <si>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</si>
  <si>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</si>
  <si>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</si>
  <si>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</si>
  <si>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</si>
  <si>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</si>
  <si>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</si>
  <si>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</si>
  <si>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</si>
  <si>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</si>
  <si>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</si>
  <si>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</si>
  <si>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</si>
  <si>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</si>
  <si>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</si>
  <si>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</si>
  <si>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</si>
  <si>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</si>
  <si>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</si>
  <si>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</si>
  <si>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</si>
  <si>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</si>
  <si>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</si>
  <si>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</si>
  <si>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</si>
  <si>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</si>
  <si>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</si>
  <si>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</si>
  <si>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</si>
  <si>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</si>
  <si>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</si>
  <si>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</si>
  <si>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</si>
  <si>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</si>
  <si>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</si>
  <si>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</si>
  <si>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</si>
  <si>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</si>
  <si>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</si>
  <si>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</si>
  <si>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</si>
  <si>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</si>
  <si>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</si>
  <si>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</si>
  <si>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</si>
  <si>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</si>
  <si>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</si>
  <si>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</si>
  <si>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</si>
  <si>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</si>
  <si>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</si>
  <si>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</si>
  <si>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</si>
  <si>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</si>
  <si>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</si>
  <si>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</si>
  <si>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</si>
  <si>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</si>
  <si>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</si>
  <si>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</si>
  <si>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</si>
  <si>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</si>
  <si>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</si>
  <si>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</si>
  <si>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</si>
  <si>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</si>
  <si>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</si>
  <si>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</si>
  <si>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</si>
  <si>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</si>
  <si>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</si>
  <si>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</si>
  <si>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</si>
  <si>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</si>
  <si>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</si>
  <si>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</si>
  <si>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</si>
  <si>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</si>
  <si>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</si>
  <si>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</si>
  <si>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</si>
  <si>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</si>
  <si>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</si>
  <si>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</si>
  <si>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</si>
  <si>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</si>
  <si>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</si>
  <si>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</si>
  <si>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</si>
  <si>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</si>
  <si>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</si>
  <si>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</si>
  <si>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</si>
  <si>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</si>
  <si>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</si>
  <si>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</si>
  <si>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</si>
  <si>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</si>
  <si>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</si>
  <si>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</si>
  <si>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</si>
  <si>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</si>
  <si>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</si>
  <si>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</si>
  <si>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</si>
  <si>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</si>
  <si>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</si>
  <si>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</si>
  <si>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</si>
  <si>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</si>
  <si>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</si>
  <si>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</si>
  <si>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</si>
  <si>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</si>
  <si>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</si>
  <si>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</si>
  <si>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</si>
  <si>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</si>
  <si>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</si>
  <si>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</si>
  <si>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</si>
  <si>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</si>
  <si>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</si>
  <si>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</si>
  <si>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</si>
  <si>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</si>
  <si>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</si>
  <si>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</si>
  <si>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</si>
  <si>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</si>
  <si>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</si>
  <si>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</si>
  <si>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</si>
  <si>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</si>
  <si>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</si>
  <si>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</si>
  <si>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</si>
  <si>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</si>
  <si>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</si>
  <si>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</si>
  <si>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</si>
  <si>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</si>
  <si>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</si>
  <si>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</si>
  <si>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</si>
  <si>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</si>
  <si>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</si>
  <si>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</si>
  <si>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</si>
  <si>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</si>
  <si>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</si>
  <si>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</si>
  <si>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</si>
  <si>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</si>
  <si>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</si>
  <si>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</si>
  <si>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</si>
  <si>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</si>
  <si>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</si>
  <si>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</si>
  <si>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</si>
  <si>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</si>
  <si>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</si>
  <si>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</si>
  <si>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</si>
  <si>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</si>
  <si>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</si>
  <si>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</si>
  <si>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</si>
  <si>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</si>
  <si>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</si>
  <si>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</si>
  <si>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</si>
  <si>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</si>
  <si>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</si>
  <si>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</si>
  <si>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</si>
  <si>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</si>
  <si>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</si>
  <si>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</si>
  <si>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</si>
  <si>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</si>
  <si>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</si>
  <si>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</si>
  <si>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</si>
  <si>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</si>
  <si>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</si>
  <si>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</si>
  <si>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</si>
  <si>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</si>
  <si>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</si>
  <si>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</si>
  <si>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</si>
  <si>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</si>
  <si>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</si>
  <si>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</si>
  <si>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</si>
  <si>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</si>
  <si>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</si>
  <si>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</si>
  <si>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</si>
  <si>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</si>
  <si>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</si>
  <si>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</si>
  <si>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</si>
  <si>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</si>
  <si>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</si>
  <si>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</si>
  <si>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</si>
  <si>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</si>
  <si>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</si>
  <si>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</si>
  <si>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</si>
  <si>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</si>
  <si>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</si>
  <si>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</si>
  <si>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</si>
  <si>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</si>
  <si>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</si>
  <si>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</si>
  <si>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</si>
  <si>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</si>
  <si>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</si>
  <si>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</si>
  <si>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</si>
  <si>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</si>
  <si>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</si>
  <si>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</si>
  <si>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</si>
  <si>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</si>
  <si>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</si>
  <si>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</si>
  <si>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</si>
  <si>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</si>
  <si>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</si>
  <si>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</si>
  <si>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</si>
  <si>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</si>
  <si>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</si>
  <si>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</si>
  <si>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</si>
  <si>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</si>
  <si>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</si>
  <si>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</si>
  <si>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</si>
  <si>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</si>
  <si>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</si>
  <si>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</si>
  <si>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</si>
  <si>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</si>
  <si>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</si>
  <si>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</si>
  <si>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</si>
  <si>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</si>
  <si>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</si>
  <si>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</si>
  <si>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</si>
  <si>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</si>
  <si>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</si>
  <si>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</si>
  <si>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</si>
  <si>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</si>
  <si>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</si>
  <si>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</si>
  <si>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</si>
  <si>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</si>
  <si>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</si>
  <si>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</si>
  <si>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</si>
  <si>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</si>
  <si>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</si>
  <si>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</si>
  <si>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</si>
  <si>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</si>
  <si>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</si>
  <si>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</si>
  <si>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</si>
  <si>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</si>
  <si>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</si>
  <si>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</si>
  <si>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</si>
  <si>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</si>
  <si>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</si>
  <si>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</si>
  <si>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</si>
  <si>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</si>
  <si>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</si>
  <si>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</si>
  <si>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</si>
  <si>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</si>
  <si>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</si>
  <si>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</si>
  <si>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</si>
  <si>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</si>
  <si>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</si>
  <si>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</si>
  <si>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</si>
  <si>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</si>
  <si>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</si>
  <si>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</si>
  <si>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</si>
  <si>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</si>
  <si>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</si>
  <si>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</si>
  <si>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</si>
  <si>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</si>
  <si>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</si>
  <si>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</si>
  <si>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</si>
  <si>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</si>
  <si>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</si>
  <si>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</si>
  <si>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</si>
  <si>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</si>
  <si>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</si>
  <si>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</si>
  <si>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</si>
  <si>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</si>
  <si>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</si>
  <si>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</si>
  <si>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</si>
  <si>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</si>
  <si>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</si>
  <si>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</si>
  <si>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</si>
  <si>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</si>
  <si>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</si>
  <si>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</si>
  <si>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</si>
  <si>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</si>
  <si>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</si>
  <si>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</si>
  <si>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</si>
  <si>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</si>
  <si>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</si>
  <si>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</si>
  <si>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</si>
  <si>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</si>
  <si>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</si>
  <si>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</si>
  <si>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</si>
  <si>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</si>
  <si>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</si>
  <si>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</si>
  <si>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</si>
  <si>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</si>
  <si>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</si>
  <si>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</si>
  <si>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</si>
  <si>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</si>
  <si>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</si>
  <si>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</si>
  <si>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</si>
  <si>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</si>
  <si>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</si>
  <si>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</si>
  <si>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</si>
  <si>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</si>
  <si>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</si>
  <si>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</si>
  <si>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</si>
  <si>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</si>
  <si>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</si>
  <si>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</si>
  <si>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</si>
  <si>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</si>
  <si>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</si>
  <si>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</si>
  <si>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</si>
  <si>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</si>
  <si>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</si>
  <si>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</si>
  <si>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</si>
  <si>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</si>
  <si>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</si>
  <si>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</si>
  <si>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</si>
  <si>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</si>
  <si>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</si>
  <si>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</si>
  <si>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</si>
  <si>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</si>
  <si>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</si>
  <si>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</si>
  <si>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</si>
  <si>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</si>
  <si>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</si>
  <si>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</si>
  <si>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</si>
  <si>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</si>
  <si>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</si>
  <si>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</si>
  <si>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</si>
  <si>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</si>
  <si>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</si>
  <si>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</si>
  <si>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</si>
  <si>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</si>
  <si>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</si>
  <si>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</si>
  <si>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</si>
  <si>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</si>
  <si>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</si>
  <si>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</si>
  <si>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</si>
  <si>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</si>
  <si>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</si>
  <si>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</si>
  <si>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</si>
  <si>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</si>
  <si>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</si>
  <si>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</si>
  <si>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</si>
  <si>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</si>
  <si>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</si>
  <si>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</si>
  <si>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</si>
  <si>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</si>
  <si>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</si>
  <si>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</si>
  <si>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</si>
  <si>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</si>
  <si>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</si>
  <si>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</si>
  <si>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</si>
  <si>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</si>
  <si>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</si>
  <si>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</si>
  <si>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</si>
  <si>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</si>
  <si>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</si>
  <si>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</si>
  <si>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</si>
  <si>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</si>
  <si>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</si>
  <si>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</si>
  <si>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</si>
  <si>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</si>
  <si>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</si>
  <si>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</si>
  <si>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</si>
  <si>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</si>
  <si>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</si>
  <si>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</si>
  <si>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</si>
  <si>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</si>
  <si>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</si>
  <si>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</si>
  <si>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</si>
  <si>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</si>
  <si>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</si>
  <si>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</si>
  <si>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</si>
  <si>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</si>
  <si>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</si>
  <si>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</si>
  <si>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</si>
  <si>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</si>
  <si>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</si>
  <si>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</si>
  <si>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</si>
  <si>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</si>
  <si>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</si>
  <si>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</si>
  <si>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</si>
  <si>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</si>
  <si>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</si>
  <si>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</si>
  <si>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</si>
  <si>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</si>
  <si>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</si>
  <si>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</si>
  <si>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</si>
  <si>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</si>
  <si>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</si>
  <si>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</si>
  <si>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</si>
  <si>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</si>
  <si>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</si>
  <si>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</si>
  <si>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</si>
  <si>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</si>
  <si>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</si>
  <si>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</si>
  <si>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</si>
  <si>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</si>
  <si>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</si>
  <si>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</si>
  <si>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</si>
  <si>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</si>
  <si>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</si>
  <si>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</si>
  <si>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</si>
  <si>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</si>
  <si>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</si>
  <si>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</si>
  <si>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</si>
  <si>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</si>
  <si>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</si>
  <si>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</si>
  <si>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</si>
  <si>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</si>
  <si>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</si>
  <si>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</si>
  <si>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</si>
  <si>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</si>
  <si>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</si>
  <si>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</si>
  <si>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</si>
  <si>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</si>
  <si>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</si>
  <si>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</si>
  <si>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</si>
  <si>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</si>
  <si>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</si>
  <si>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</si>
  <si>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</si>
  <si>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</si>
  <si>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</si>
  <si>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</si>
  <si>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</si>
  <si>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</si>
  <si>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</si>
  <si>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</si>
  <si>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</si>
  <si>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</si>
  <si>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</si>
  <si>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</si>
  <si>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</si>
  <si>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</si>
  <si>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</si>
  <si>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</si>
  <si>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</si>
  <si>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</si>
  <si>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</si>
  <si>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</si>
  <si>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</si>
  <si>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</si>
  <si>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</si>
  <si>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</si>
  <si>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</si>
  <si>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</si>
  <si>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</si>
  <si>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</si>
  <si>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</si>
  <si>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</si>
  <si>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</si>
  <si>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</si>
  <si>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</si>
  <si>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</si>
  <si>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</si>
  <si>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</si>
  <si>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</si>
  <si>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</si>
  <si>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</si>
  <si>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</si>
  <si>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</si>
  <si>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</si>
  <si>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</si>
  <si>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</si>
  <si>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</si>
  <si>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</si>
  <si>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</si>
  <si>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</si>
  <si>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</si>
  <si>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</si>
  <si>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</si>
  <si>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</si>
  <si>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</si>
  <si>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</si>
  <si>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</si>
  <si>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</si>
  <si>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</si>
  <si>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</si>
  <si>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</si>
  <si>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</si>
  <si>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</si>
  <si>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</si>
  <si>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</si>
  <si>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</si>
  <si>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</si>
  <si>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</si>
  <si>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</si>
  <si>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</si>
  <si>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</si>
  <si>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</si>
  <si>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</si>
  <si>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</si>
  <si>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</si>
  <si>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</si>
  <si>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</si>
  <si>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</si>
  <si>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</si>
  <si>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</si>
  <si>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</si>
  <si>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</si>
  <si>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</si>
  <si>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</si>
  <si>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</si>
  <si>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</si>
  <si>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</si>
  <si>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</si>
  <si>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</si>
  <si>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</si>
  <si>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</si>
  <si>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</si>
  <si>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</si>
  <si>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</si>
  <si>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</si>
  <si>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</si>
  <si>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</si>
  <si>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</si>
  <si>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</si>
  <si>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</si>
  <si>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</si>
  <si>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</si>
  <si>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</si>
  <si>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</si>
  <si>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</si>
  <si>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</si>
  <si>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</si>
  <si>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</si>
  <si>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</si>
  <si>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</si>
  <si>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</si>
  <si>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</si>
  <si>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</si>
  <si>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</si>
  <si>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</si>
  <si>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</si>
  <si>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</si>
  <si>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</si>
  <si>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</si>
  <si>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</si>
  <si>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</si>
  <si>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</si>
  <si>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</si>
  <si>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</si>
  <si>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</si>
  <si>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</si>
  <si>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</si>
  <si>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</si>
  <si>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</si>
  <si>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</si>
  <si>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</si>
  <si>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</si>
  <si>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</si>
  <si>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</si>
  <si>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</si>
  <si>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</si>
  <si>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</si>
  <si>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</si>
  <si>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</si>
  <si>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</si>
  <si>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</si>
  <si>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</si>
  <si>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</si>
  <si>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</si>
  <si>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</si>
  <si>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</si>
  <si>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</si>
  <si>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</si>
  <si>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</si>
  <si>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</si>
  <si>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</si>
  <si>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</si>
  <si>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</si>
  <si>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</si>
  <si>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</si>
  <si>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</si>
  <si>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</si>
  <si>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</si>
  <si>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</si>
  <si>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</si>
  <si>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</si>
  <si>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</si>
  <si>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</si>
  <si>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</si>
  <si>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</si>
  <si>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</si>
  <si>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</si>
  <si>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</si>
  <si>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</si>
  <si>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</si>
  <si>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</si>
  <si>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</si>
  <si>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</si>
  <si>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</si>
  <si>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</si>
  <si>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</si>
  <si>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</si>
  <si>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</si>
  <si>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</si>
  <si>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</si>
  <si>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</si>
  <si>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</si>
  <si>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</si>
  <si>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</si>
  <si>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</si>
  <si>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</si>
  <si>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</si>
  <si>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</si>
  <si>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</si>
  <si>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</si>
  <si>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</si>
  <si>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</si>
  <si>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</si>
  <si>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</si>
  <si>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</si>
  <si>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</si>
  <si>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</si>
  <si>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</si>
  <si>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</si>
  <si>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</si>
  <si>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</si>
  <si>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</si>
  <si>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</si>
  <si>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</si>
  <si>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</si>
  <si>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</si>
  <si>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</si>
  <si>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</si>
  <si>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</si>
  <si>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</si>
  <si>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</si>
  <si>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</si>
  <si>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</si>
  <si>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</si>
  <si>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</si>
  <si>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</si>
  <si>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</si>
  <si>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</si>
  <si>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</si>
  <si>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</si>
  <si>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</si>
  <si>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</si>
  <si>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</si>
  <si>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</si>
  <si>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</si>
  <si>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</si>
  <si>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</si>
  <si>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</si>
  <si>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</si>
  <si>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</si>
  <si>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</si>
  <si>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</si>
  <si>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</si>
  <si>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</si>
  <si>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</si>
  <si>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</si>
  <si>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</si>
  <si>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</si>
  <si>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</si>
  <si>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</si>
  <si>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</si>
  <si>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</si>
  <si>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</si>
  <si>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</si>
  <si>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</si>
  <si>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</si>
  <si>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</si>
  <si>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</si>
  <si>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</si>
  <si>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</si>
  <si>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</si>
  <si>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</si>
  <si>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</si>
  <si>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</si>
  <si>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</si>
  <si>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</si>
  <si>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</si>
  <si>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</si>
  <si>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</si>
  <si>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</si>
  <si>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</si>
  <si>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</si>
  <si>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</si>
  <si>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</si>
  <si>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</si>
  <si>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</si>
  <si>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</si>
  <si>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</si>
  <si>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</si>
  <si>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</si>
  <si>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</si>
  <si>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</si>
  <si>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</si>
  <si>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</si>
  <si>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</si>
  <si>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</si>
  <si>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</si>
  <si>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</si>
  <si>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</si>
  <si>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</si>
  <si>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</si>
  <si>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</si>
  <si>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</si>
  <si>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</si>
  <si>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</si>
  <si>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</si>
  <si>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</si>
  <si>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</si>
  <si>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</si>
  <si>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</si>
  <si>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</si>
  <si>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</si>
  <si>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</si>
  <si>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</si>
  <si>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</si>
  <si>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</si>
  <si>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</si>
  <si>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</si>
  <si>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</si>
  <si>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</si>
  <si>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</si>
  <si>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</si>
  <si>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</si>
  <si>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</si>
  <si>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</si>
  <si>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</si>
  <si>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</si>
  <si>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</si>
  <si>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</si>
  <si>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</si>
  <si>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</si>
  <si>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</si>
  <si>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</si>
  <si>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</si>
  <si>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</si>
  <si>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</si>
  <si>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</si>
  <si>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</si>
  <si>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</si>
  <si>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</si>
  <si>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</si>
  <si>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</si>
  <si>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</si>
  <si>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</si>
  <si>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</si>
  <si>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</si>
  <si>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</si>
  <si>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</si>
  <si>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</si>
  <si>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</si>
  <si>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</si>
  <si>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</si>
  <si>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</si>
  <si>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</si>
  <si>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</si>
  <si>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</si>
  <si>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</si>
  <si>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</si>
  <si>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</si>
  <si>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</si>
  <si>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</si>
  <si>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</si>
  <si>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</si>
  <si>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</si>
  <si>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</si>
  <si>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</si>
  <si>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</si>
  <si>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</si>
  <si>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</si>
  <si>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</si>
  <si>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</si>
  <si>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</si>
  <si>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</si>
  <si>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</si>
  <si>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</si>
  <si>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</si>
  <si>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</si>
  <si>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</si>
  <si>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</si>
  <si>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</si>
  <si>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</si>
  <si>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</si>
  <si>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</si>
  <si>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</si>
  <si>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</si>
  <si>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</si>
  <si>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</si>
  <si>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</si>
  <si>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</si>
  <si>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</si>
  <si>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</si>
  <si>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</si>
  <si>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</si>
  <si>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</si>
  <si>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</si>
  <si>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</si>
  <si>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</si>
  <si>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</si>
  <si>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</si>
  <si>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</si>
  <si>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</si>
  <si>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</si>
  <si>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</si>
  <si>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</si>
  <si>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</si>
  <si>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</si>
  <si>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</si>
  <si>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</si>
  <si>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</si>
  <si>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</si>
  <si>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</si>
  <si>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</si>
  <si>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</si>
  <si>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</si>
  <si>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</si>
  <si>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</si>
  <si>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</si>
  <si>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</si>
  <si>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</si>
  <si>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</si>
  <si>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</si>
  <si>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</si>
  <si>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</si>
  <si>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</si>
  <si>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</si>
  <si>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</si>
  <si>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</si>
  <si>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</si>
  <si>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</si>
  <si>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</si>
  <si>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</si>
  <si>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</si>
  <si>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</si>
  <si>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</si>
  <si>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</si>
  <si>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</si>
  <si>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</si>
  <si>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</si>
  <si>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</si>
  <si>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</si>
  <si>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</si>
  <si>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</si>
  <si>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</si>
  <si>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</si>
  <si>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</si>
  <si>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</si>
  <si>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</si>
  <si>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</si>
  <si>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</si>
  <si>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</si>
  <si>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</si>
  <si>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</si>
  <si>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</si>
  <si>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</si>
  <si>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</si>
  <si>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</si>
  <si>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</si>
  <si>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</si>
  <si>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</si>
  <si>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</si>
  <si>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</si>
  <si>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</si>
  <si>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</si>
  <si>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</si>
  <si>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</si>
  <si>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</si>
  <si>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</si>
  <si>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</si>
  <si>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</si>
  <si>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</si>
  <si>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</si>
  <si>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</si>
  <si>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</si>
  <si>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</si>
  <si>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</si>
  <si>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</si>
  <si>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</si>
  <si>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</si>
  <si>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</si>
  <si>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</si>
  <si>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</si>
  <si>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</si>
  <si>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</si>
  <si>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</si>
  <si>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</si>
  <si>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</si>
  <si>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</si>
  <si>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</si>
  <si>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</si>
  <si>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</si>
  <si>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</si>
  <si>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</si>
  <si>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</si>
  <si>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</si>
  <si>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</si>
  <si>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</si>
  <si>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</si>
  <si>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</si>
  <si>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</si>
  <si>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</si>
  <si>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</si>
  <si>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</si>
  <si>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</si>
  <si>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</si>
  <si>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</si>
  <si>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</si>
  <si>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</si>
  <si>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</si>
  <si>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</si>
  <si>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</si>
  <si>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</si>
  <si>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</si>
  <si>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</si>
  <si>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</si>
  <si>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</si>
  <si>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</si>
  <si>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</si>
  <si>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</si>
  <si>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</si>
  <si>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</si>
  <si>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</si>
  <si>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</si>
  <si>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</si>
  <si>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</si>
  <si>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</si>
  <si>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</si>
  <si>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</si>
  <si>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</si>
  <si>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</si>
  <si>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</si>
  <si>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</si>
  <si>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</si>
  <si>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</si>
  <si>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</si>
  <si>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</si>
  <si>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</si>
  <si>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</si>
  <si>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</si>
  <si>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</si>
  <si>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</si>
  <si>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</si>
  <si>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</si>
  <si>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</si>
  <si>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</si>
  <si>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</si>
  <si>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</si>
  <si>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</si>
  <si>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</si>
  <si>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</si>
  <si>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</si>
  <si>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</si>
  <si>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</si>
  <si>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</si>
  <si>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</si>
  <si>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</si>
  <si>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</si>
  <si>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</si>
  <si>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</si>
  <si>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</si>
  <si>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</si>
  <si>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</si>
  <si>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</si>
  <si>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</si>
  <si>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</si>
  <si>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</si>
  <si>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</si>
  <si>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</si>
  <si>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</si>
  <si>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</si>
  <si>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</si>
  <si>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</si>
  <si>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</si>
  <si>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</si>
  <si>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</si>
  <si>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</si>
  <si>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</si>
  <si>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</si>
  <si>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</si>
  <si>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</si>
  <si>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</si>
  <si>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</si>
  <si>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</si>
  <si>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</si>
  <si>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</si>
  <si>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</si>
  <si>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</si>
  <si>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</si>
  <si>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</si>
  <si>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</si>
  <si>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</si>
  <si>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</si>
  <si>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</si>
  <si>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</si>
  <si>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</si>
  <si>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</si>
  <si>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</si>
  <si>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</si>
  <si>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</si>
  <si>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</si>
  <si>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</si>
  <si>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</si>
  <si>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</si>
  <si>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</si>
  <si>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</si>
  <si>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</si>
  <si>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</si>
  <si>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</si>
  <si>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</si>
  <si>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</si>
  <si>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</si>
  <si>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</si>
  <si>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</si>
  <si>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</si>
  <si>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</si>
  <si>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</si>
  <si>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</si>
  <si>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</si>
  <si>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</si>
  <si>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</si>
  <si>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</si>
  <si>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</si>
  <si>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</si>
  <si>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</si>
  <si>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</si>
  <si>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</si>
  <si>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</si>
  <si>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</si>
  <si>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</si>
  <si>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</si>
  <si>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</si>
  <si>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</si>
  <si>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</si>
  <si>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</si>
  <si>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</si>
  <si>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</si>
  <si>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</si>
  <si>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</si>
  <si>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</si>
  <si>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</si>
  <si>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</si>
  <si>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</si>
  <si>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</si>
  <si>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</si>
  <si>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</si>
  <si>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</si>
  <si>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</si>
  <si>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</si>
  <si>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</si>
  <si>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</si>
  <si>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</si>
  <si>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</si>
  <si>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</si>
  <si>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</si>
  <si>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</si>
  <si>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</si>
  <si>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</si>
  <si>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</si>
  <si>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</si>
  <si>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</si>
  <si>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</si>
  <si>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</si>
  <si>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</si>
  <si>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</si>
  <si>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</si>
  <si>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</si>
  <si>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</si>
  <si>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</si>
  <si>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</si>
  <si>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</si>
  <si>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</si>
  <si>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</si>
  <si>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</si>
  <si>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</si>
  <si>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</si>
  <si>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</si>
  <si>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</si>
  <si>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</si>
  <si>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</si>
  <si>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</si>
  <si>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</si>
  <si>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</si>
  <si>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</si>
  <si>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</si>
  <si>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</si>
  <si>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</si>
  <si>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</si>
  <si>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</si>
  <si>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</si>
  <si>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</si>
  <si>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</si>
  <si>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</si>
  <si>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</si>
  <si>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</si>
  <si>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</si>
  <si>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</si>
  <si>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</si>
  <si>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</si>
  <si>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</si>
  <si>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</si>
  <si>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</si>
  <si>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</si>
  <si>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</si>
  <si>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</si>
  <si>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</si>
  <si>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</si>
  <si>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</si>
  <si>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</si>
  <si>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</si>
  <si>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</si>
  <si>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</si>
  <si>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</si>
  <si>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</si>
  <si>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</si>
  <si>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</si>
  <si>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</si>
  <si>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</si>
  <si>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</si>
  <si>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</si>
  <si>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</si>
  <si>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</si>
  <si>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</si>
  <si>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</si>
  <si>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</si>
  <si>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</si>
  <si>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</si>
  <si>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</si>
  <si>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</si>
  <si>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</si>
  <si>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</si>
  <si>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</si>
  <si>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</si>
  <si>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</si>
  <si>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</si>
  <si>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</si>
  <si>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</si>
  <si>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</si>
  <si>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</si>
  <si>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</si>
  <si>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</si>
  <si>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</si>
  <si>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</si>
  <si>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</si>
  <si>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</si>
  <si>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</si>
  <si>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</si>
  <si>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</si>
  <si>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</si>
  <si>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</si>
  <si>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</si>
  <si>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</si>
  <si>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</si>
  <si>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</si>
  <si>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</si>
  <si>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</si>
  <si>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</si>
  <si>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</si>
  <si>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</si>
  <si>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</si>
  <si>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</si>
  <si>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</si>
  <si>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</si>
  <si>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</si>
  <si>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</si>
  <si>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</si>
  <si>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</si>
  <si>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</si>
  <si>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</si>
  <si>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</si>
  <si>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</si>
  <si>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</si>
  <si>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</si>
  <si>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</si>
  <si>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</si>
  <si>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</si>
  <si>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</si>
  <si>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</si>
  <si>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</si>
  <si>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</si>
  <si>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</si>
  <si>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</si>
  <si>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</si>
  <si>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</si>
  <si>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</si>
  <si>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</si>
  <si>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</si>
  <si>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</si>
  <si>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</si>
  <si>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</si>
  <si>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</si>
  <si>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</si>
  <si>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</si>
  <si>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</si>
  <si>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</si>
  <si>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</si>
  <si>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</si>
  <si>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</si>
  <si>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</si>
  <si>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</si>
  <si>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</si>
  <si>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</si>
  <si>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</si>
  <si>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</si>
  <si>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</si>
  <si>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</si>
  <si>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</si>
  <si>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</si>
  <si>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</si>
  <si>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</si>
  <si>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</si>
  <si>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</si>
  <si>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</si>
  <si>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</si>
  <si>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</si>
  <si>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</si>
  <si>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</si>
  <si>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</si>
  <si>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</si>
  <si>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</si>
  <si>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</si>
  <si>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</si>
  <si>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</si>
  <si>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</si>
  <si>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</si>
  <si>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</si>
  <si>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</si>
  <si>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</si>
  <si>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</si>
  <si>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</si>
  <si>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</si>
  <si>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</si>
  <si>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</si>
  <si>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</si>
  <si>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</si>
  <si>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</si>
  <si>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</si>
  <si>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</si>
  <si>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</si>
  <si>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</si>
  <si>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</si>
  <si>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</si>
  <si>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</si>
  <si>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</si>
  <si>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</si>
  <si>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</si>
  <si>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</si>
  <si>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</si>
  <si>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</si>
  <si>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</si>
  <si>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</si>
  <si>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</si>
  <si>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</si>
  <si>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</si>
  <si>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</si>
  <si>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</si>
  <si>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</si>
  <si>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</si>
  <si>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</si>
  <si>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</si>
  <si>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</si>
  <si>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</si>
  <si>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</si>
  <si>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</si>
  <si>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</si>
  <si>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</si>
  <si>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</si>
  <si>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</si>
  <si>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</si>
  <si>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</si>
  <si>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</si>
  <si>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</si>
  <si>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</si>
  <si>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</si>
  <si>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</si>
  <si>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</si>
  <si>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</si>
  <si>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</si>
  <si>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</si>
  <si>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</si>
  <si>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</si>
  <si>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</si>
  <si>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</si>
  <si>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</si>
  <si>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</si>
  <si>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</si>
  <si>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</si>
  <si>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</si>
  <si>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</si>
  <si>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</si>
  <si>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</si>
  <si>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</si>
  <si>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</si>
  <si>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</si>
  <si>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</si>
  <si>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</si>
  <si>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</si>
  <si>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</si>
  <si>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</si>
  <si>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</si>
  <si>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</si>
  <si>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</si>
  <si>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</si>
  <si>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</si>
  <si>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</si>
  <si>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</si>
  <si>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</si>
  <si>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</si>
  <si>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</si>
  <si>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</si>
  <si>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</si>
  <si>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</si>
  <si>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</si>
  <si>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</si>
  <si>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</si>
  <si>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</si>
  <si>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</si>
  <si>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</si>
  <si>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</si>
  <si>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</si>
  <si>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</si>
  <si>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</si>
  <si>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</si>
  <si>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</si>
  <si>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</si>
  <si>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</si>
  <si>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</si>
  <si>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</si>
  <si>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</si>
  <si>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</si>
  <si>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</si>
  <si>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</si>
  <si>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</si>
  <si>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</si>
  <si>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</si>
  <si>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</si>
  <si>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</si>
  <si>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</si>
  <si>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</si>
  <si>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</si>
  <si>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</si>
  <si>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</si>
  <si>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</si>
  <si>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</si>
  <si>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</si>
  <si>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</si>
  <si>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</si>
  <si>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</si>
  <si>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</si>
  <si>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</si>
  <si>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</si>
  <si>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</si>
  <si>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</si>
  <si>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</si>
  <si>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</si>
  <si>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</si>
  <si>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</si>
  <si>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</si>
  <si>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</si>
  <si>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</si>
  <si>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</si>
  <si>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</si>
  <si>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</si>
  <si>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</si>
  <si>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</si>
  <si>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</si>
  <si>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</si>
  <si>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</si>
  <si>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</si>
  <si>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</si>
  <si>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</si>
  <si>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</si>
  <si>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</si>
  <si>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</si>
  <si>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</si>
  <si>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</si>
  <si>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</si>
  <si>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</si>
  <si>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</si>
  <si>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</si>
  <si>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</si>
  <si>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</si>
  <si>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</si>
  <si>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</si>
  <si>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</si>
  <si>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</si>
  <si>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</si>
  <si>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</si>
  <si>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</si>
  <si>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</si>
  <si>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</si>
  <si>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</si>
  <si>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</si>
  <si>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</si>
  <si>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</si>
  <si>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</si>
  <si>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</si>
  <si>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</si>
  <si>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</si>
  <si>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</si>
  <si>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</si>
  <si>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</si>
  <si>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</si>
  <si>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</si>
  <si>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</si>
  <si>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</si>
  <si>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</si>
  <si>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</si>
  <si>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</si>
  <si>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</si>
  <si>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</si>
  <si>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</si>
  <si>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</si>
  <si>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</si>
  <si>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</si>
  <si>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</si>
  <si>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</si>
  <si>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</si>
  <si>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</si>
  <si>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</si>
  <si>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</si>
  <si>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</si>
  <si>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</si>
  <si>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</si>
  <si>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</si>
  <si>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</si>
  <si>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</si>
  <si>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</si>
  <si>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</si>
  <si>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</si>
  <si>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</si>
  <si>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</si>
  <si>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</si>
  <si>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</si>
  <si>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</si>
  <si>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</si>
  <si>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</si>
  <si>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</si>
  <si>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</si>
  <si>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</si>
  <si>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</si>
  <si>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</si>
  <si>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</si>
  <si>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</si>
  <si>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</si>
  <si>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</si>
  <si>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</si>
  <si>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</si>
  <si>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</si>
  <si>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</si>
  <si>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</si>
  <si>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</si>
  <si>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</si>
  <si>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</si>
  <si>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</si>
  <si>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</si>
  <si>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</si>
  <si>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</si>
  <si>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</si>
  <si>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</si>
  <si>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</si>
  <si>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</si>
  <si>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</si>
  <si>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</si>
  <si>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</si>
  <si>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</si>
  <si>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</si>
  <si>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</si>
  <si>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</si>
  <si>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</si>
  <si>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</si>
  <si>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</si>
  <si>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</si>
  <si>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</si>
  <si>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</si>
  <si>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</si>
  <si>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</si>
  <si>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</si>
  <si>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</si>
  <si>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</si>
  <si>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</si>
  <si>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</si>
  <si>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</si>
  <si>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</si>
  <si>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</si>
  <si>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</si>
  <si>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</si>
  <si>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</si>
  <si>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</si>
  <si>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</si>
  <si>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</si>
  <si>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</si>
  <si>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</si>
  <si>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</si>
  <si>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</si>
  <si>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</si>
  <si>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</si>
  <si>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</si>
  <si>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</si>
  <si>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</si>
  <si>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</si>
  <si>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</si>
  <si>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</si>
  <si>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</si>
  <si>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</si>
  <si>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</si>
  <si>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</si>
  <si>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</si>
  <si>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</si>
  <si>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</si>
  <si>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</si>
  <si>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</si>
  <si>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</si>
  <si>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</si>
  <si>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</si>
  <si>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</si>
  <si>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</si>
  <si>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</si>
  <si>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</si>
  <si>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</si>
  <si>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</si>
  <si>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</si>
  <si>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</si>
  <si>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</si>
  <si>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</si>
  <si>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</si>
  <si>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</si>
  <si>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</si>
  <si>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</si>
  <si>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</si>
  <si>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</si>
  <si>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</si>
  <si>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</si>
  <si>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</si>
  <si>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</si>
  <si>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</si>
  <si>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</si>
  <si>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</si>
  <si>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</si>
  <si>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</si>
  <si>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</si>
  <si>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</si>
  <si>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</si>
  <si>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</si>
  <si>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</si>
  <si>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</si>
  <si>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</si>
  <si>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</si>
  <si>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</si>
  <si>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</si>
  <si>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</si>
  <si>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</si>
  <si>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</si>
  <si>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</si>
  <si>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</si>
  <si>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</si>
  <si>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</si>
  <si>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</si>
  <si>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</si>
  <si>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</si>
  <si>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</si>
  <si>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</si>
  <si>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</si>
  <si>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</si>
  <si>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</si>
  <si>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</si>
  <si>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</si>
  <si>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</si>
  <si>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</si>
  <si>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</si>
  <si>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</si>
  <si>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</si>
  <si>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</si>
  <si>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</si>
  <si>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</si>
  <si>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</si>
  <si>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</si>
  <si>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</si>
  <si>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</si>
  <si>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</si>
  <si>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</si>
  <si>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</si>
  <si>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</si>
  <si>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</si>
  <si>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</si>
  <si>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</si>
  <si>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</si>
  <si>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</si>
  <si>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</si>
  <si>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</si>
  <si>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</si>
  <si>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</si>
  <si>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</si>
  <si>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</si>
  <si>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</si>
  <si>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</si>
  <si>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</si>
  <si>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</si>
  <si>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</si>
  <si>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</si>
  <si>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</si>
  <si>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</si>
  <si>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</si>
  <si>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</si>
  <si>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</si>
  <si>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</si>
  <si>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</si>
  <si>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</si>
  <si>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</si>
  <si>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</si>
  <si>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</si>
  <si>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</si>
  <si>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</si>
  <si>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</si>
  <si>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</si>
  <si>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</si>
  <si>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</si>
  <si>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</si>
  <si>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</si>
  <si>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</si>
  <si>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</si>
  <si>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</si>
  <si>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</si>
  <si>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</si>
  <si>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</si>
  <si>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</si>
  <si>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</si>
  <si>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</si>
  <si>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</si>
  <si>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</si>
  <si>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</si>
  <si>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</si>
  <si>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</si>
  <si>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</si>
  <si>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</si>
  <si>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</si>
  <si>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</si>
  <si>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</si>
  <si>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</si>
  <si>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</si>
  <si>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</si>
  <si>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</si>
  <si>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</si>
  <si>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</si>
  <si>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</si>
  <si>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</si>
  <si>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</si>
  <si>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</si>
  <si>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</si>
  <si>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</si>
  <si>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</si>
  <si>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</si>
  <si>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</si>
  <si>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</si>
  <si>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</si>
  <si>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</si>
  <si>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</si>
  <si>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</si>
  <si>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</si>
  <si>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</si>
  <si>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</si>
  <si>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</si>
  <si>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</si>
  <si>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</si>
  <si>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</si>
  <si>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</si>
  <si>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</si>
  <si>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</si>
  <si>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</si>
  <si>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</si>
  <si>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</si>
  <si>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</si>
  <si>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</si>
  <si>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</si>
  <si>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</si>
  <si>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</si>
  <si>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</si>
  <si>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</si>
  <si>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</si>
  <si>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</si>
  <si>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</si>
  <si>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</si>
  <si>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</si>
  <si>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</si>
  <si>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</si>
  <si>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</si>
  <si>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</si>
  <si>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</si>
  <si>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</si>
  <si>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</si>
  <si>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</si>
  <si>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</si>
  <si>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</si>
  <si>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</si>
  <si>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</si>
  <si>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</si>
  <si>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</si>
  <si>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</si>
  <si>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</si>
  <si>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</si>
  <si>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</si>
  <si>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</si>
  <si>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</si>
  <si>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</si>
  <si>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</si>
  <si>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</si>
  <si>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</si>
  <si>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</si>
  <si>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</si>
  <si>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</si>
  <si>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</si>
  <si>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</si>
  <si>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</si>
  <si>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</si>
  <si>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</si>
  <si>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</si>
  <si>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</si>
  <si>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</si>
  <si>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</si>
  <si>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</si>
  <si>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</si>
  <si>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</si>
  <si>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</si>
  <si>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</si>
  <si>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</si>
  <si>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</si>
  <si>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</si>
  <si>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</si>
  <si>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</si>
  <si>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</si>
  <si>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</si>
  <si>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</si>
  <si>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</si>
  <si>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</si>
  <si>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</si>
  <si>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</si>
  <si>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</si>
  <si>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</si>
  <si>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</si>
  <si>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</si>
  <si>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</si>
  <si>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</si>
  <si>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</si>
  <si>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</si>
  <si>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</si>
  <si>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</si>
  <si>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</si>
  <si>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</si>
  <si>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</si>
  <si>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</si>
  <si>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</si>
  <si>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</si>
  <si>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</si>
  <si>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</si>
  <si>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</si>
  <si>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</si>
  <si>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</si>
  <si>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</si>
  <si>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</si>
  <si>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</si>
  <si>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</si>
  <si>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</si>
  <si>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</si>
  <si>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</si>
  <si>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</si>
  <si>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</si>
  <si>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</si>
  <si>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</si>
  <si>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</si>
  <si>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</si>
  <si>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</si>
  <si>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</si>
  <si>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</si>
  <si>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</si>
  <si>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</si>
  <si>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</si>
  <si>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</si>
  <si>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</si>
  <si>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</si>
  <si>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</si>
  <si>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</si>
  <si>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</si>
  <si>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</si>
  <si>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</si>
  <si>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</si>
  <si>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</si>
  <si>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</si>
  <si>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</si>
  <si>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</si>
  <si>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</si>
  <si>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</si>
  <si>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</si>
  <si>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</si>
  <si>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</si>
  <si>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</si>
  <si>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</si>
  <si>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</si>
  <si>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</si>
  <si>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</si>
  <si>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</si>
  <si>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</si>
  <si>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</si>
  <si>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</si>
  <si>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</si>
  <si>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</si>
  <si>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</si>
  <si>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</si>
  <si>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</si>
  <si>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</si>
  <si>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</si>
  <si>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</si>
  <si>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</si>
  <si>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</si>
  <si>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</si>
  <si>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</si>
  <si>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</si>
  <si>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</si>
  <si>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</si>
  <si>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</si>
  <si>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</si>
  <si>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</si>
  <si>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</si>
  <si>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</si>
  <si>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</si>
  <si>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</si>
  <si>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</si>
  <si>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</si>
  <si>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</si>
  <si>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</si>
  <si>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</si>
  <si>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</si>
  <si>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</si>
  <si>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</si>
  <si>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</si>
  <si>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</si>
  <si>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</si>
  <si>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</si>
  <si>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</si>
  <si>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</si>
  <si>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</si>
  <si>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</si>
  <si>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</si>
  <si>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</si>
  <si>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</si>
  <si>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</si>
  <si>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</si>
  <si>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</si>
  <si>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</si>
  <si>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</si>
  <si>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</si>
  <si>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</si>
  <si>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</si>
  <si>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</si>
  <si>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</si>
  <si>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</si>
  <si>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</si>
  <si>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</si>
  <si>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</si>
  <si>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</si>
  <si>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</si>
  <si>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</si>
  <si>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</si>
  <si>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</si>
  <si>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</si>
  <si>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</si>
  <si>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</si>
  <si>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</si>
  <si>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</si>
  <si>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</si>
  <si>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</si>
  <si>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</si>
  <si>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</si>
  <si>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</si>
  <si>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</si>
  <si>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</si>
  <si>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</si>
  <si>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</si>
  <si>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</si>
  <si>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</si>
  <si>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</si>
  <si>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</si>
  <si>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</si>
  <si>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</si>
  <si>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</si>
  <si>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</si>
  <si>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</si>
  <si>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</si>
  <si>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</si>
  <si>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</si>
  <si>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</si>
  <si>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</si>
  <si>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</si>
  <si>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</si>
  <si>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</si>
  <si>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</si>
  <si>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</si>
  <si>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</si>
  <si>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</si>
  <si>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</si>
  <si>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</si>
  <si>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</si>
  <si>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</si>
  <si>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</si>
  <si>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</si>
  <si>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</si>
  <si>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</si>
  <si>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</si>
  <si>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</si>
  <si>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</si>
  <si>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</si>
  <si>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</si>
  <si>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</si>
  <si>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</si>
  <si>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</si>
  <si>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</si>
  <si>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</si>
  <si>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</si>
  <si>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</si>
  <si>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</si>
  <si>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</si>
  <si>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</si>
  <si>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</si>
  <si>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</si>
  <si>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</si>
  <si>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</si>
  <si>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</si>
  <si>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</si>
  <si>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</si>
  <si>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</si>
  <si>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</si>
  <si>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</si>
  <si>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</si>
  <si>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</si>
  <si>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</si>
  <si>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</si>
  <si>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</si>
  <si>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</si>
  <si>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</si>
  <si>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</si>
  <si>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</si>
  <si>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</si>
  <si>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</si>
  <si>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</si>
  <si>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</si>
  <si>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</si>
  <si>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</si>
  <si>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</si>
  <si>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</si>
  <si>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</si>
  <si>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</si>
  <si>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</si>
  <si>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</si>
  <si>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</si>
  <si>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</si>
  <si>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</si>
  <si>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</si>
  <si>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</si>
  <si>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</si>
  <si>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</si>
  <si>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</si>
  <si>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</si>
  <si>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</si>
  <si>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</si>
  <si>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</si>
  <si>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</si>
  <si>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</si>
  <si>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</si>
  <si>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</si>
  <si>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</si>
  <si>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</si>
  <si>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</si>
  <si>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</si>
  <si>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</si>
  <si>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</si>
  <si>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</si>
  <si>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</si>
  <si>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</si>
  <si>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</si>
  <si>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</si>
  <si>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</si>
  <si>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</si>
  <si>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</si>
  <si>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</si>
  <si>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</si>
  <si>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</si>
  <si>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</si>
  <si>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</si>
  <si>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</si>
  <si>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</si>
  <si>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</si>
  <si>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</si>
  <si>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</si>
  <si>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</si>
  <si>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</si>
  <si>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</si>
  <si>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</si>
  <si>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</si>
  <si>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</si>
  <si>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</si>
  <si>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</si>
  <si>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</si>
  <si>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</si>
  <si>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</si>
  <si>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</si>
  <si>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</si>
  <si>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</si>
  <si>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</si>
  <si>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</si>
  <si>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</si>
  <si>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</si>
  <si>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</si>
  <si>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</si>
  <si>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</si>
  <si>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</si>
  <si>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</si>
  <si>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</si>
  <si>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</si>
  <si>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</si>
  <si>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</si>
  <si>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</si>
  <si>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</si>
  <si>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</si>
  <si>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</si>
  <si>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</si>
  <si>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</si>
  <si>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</si>
  <si>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</si>
  <si>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</si>
  <si>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</si>
  <si>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</si>
  <si>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</si>
  <si>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</si>
  <si>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</si>
  <si>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</si>
  <si>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</si>
  <si>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</si>
  <si>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</si>
  <si>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</si>
  <si>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</si>
  <si>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</si>
  <si>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</si>
  <si>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</si>
  <si>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</si>
  <si>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</si>
  <si>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</si>
  <si>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</si>
  <si>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</si>
  <si>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</si>
  <si>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</si>
  <si>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</si>
  <si>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</si>
  <si>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</si>
  <si>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</si>
  <si>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</si>
  <si>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</si>
  <si>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</si>
  <si>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</si>
  <si>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</si>
  <si>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</si>
  <si>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</si>
  <si>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</si>
  <si>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</si>
  <si>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</si>
  <si>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</si>
  <si>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</si>
  <si>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</si>
  <si>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</si>
  <si>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</si>
  <si>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</si>
  <si>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</si>
  <si>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</si>
  <si>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</si>
  <si>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</si>
  <si>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</si>
  <si>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</si>
  <si>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</si>
  <si>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</si>
  <si>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</si>
  <si>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</si>
  <si>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</si>
  <si>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</si>
  <si>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</si>
  <si>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</si>
  <si>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</si>
  <si>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</si>
  <si>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</si>
  <si>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</si>
  <si>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</si>
  <si>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</si>
  <si>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</si>
  <si>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</si>
  <si>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</si>
  <si>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</si>
  <si>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</si>
  <si>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</si>
  <si>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</si>
  <si>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</si>
  <si>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</si>
  <si>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</si>
  <si>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</si>
  <si>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</si>
  <si>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</si>
  <si>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</si>
  <si>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</si>
  <si>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</si>
  <si>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</si>
  <si>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</si>
  <si>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</si>
  <si>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</si>
  <si>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</si>
  <si>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</si>
  <si>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</si>
  <si>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</si>
  <si>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</si>
  <si>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</si>
  <si>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</si>
  <si>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</si>
  <si>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</si>
  <si>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</si>
  <si>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</si>
  <si>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</si>
  <si>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</si>
  <si>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</si>
  <si>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</si>
  <si>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</si>
  <si>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</si>
  <si>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</si>
  <si>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</si>
  <si>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</si>
  <si>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</si>
  <si>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</si>
  <si>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</si>
  <si>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</si>
  <si>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</si>
  <si>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</si>
  <si>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</si>
  <si>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</si>
  <si>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</si>
  <si>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</si>
  <si>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</si>
  <si>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</si>
  <si>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</si>
  <si>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</si>
  <si>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</si>
  <si>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</si>
  <si>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</si>
  <si>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</si>
  <si>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</si>
  <si>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</si>
  <si>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</si>
  <si>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</si>
  <si>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</si>
  <si>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</si>
  <si>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</si>
  <si>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</si>
  <si>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</si>
  <si>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</si>
  <si>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</si>
  <si>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</si>
  <si>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</si>
  <si>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</si>
  <si>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</si>
  <si>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</si>
  <si>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</si>
  <si>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</si>
  <si>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</si>
  <si>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</si>
  <si>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</si>
  <si>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</si>
  <si>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</si>
  <si>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</si>
  <si>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</si>
  <si>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</si>
  <si>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</si>
  <si>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</si>
  <si>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</si>
  <si>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</si>
  <si>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</si>
  <si>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</si>
  <si>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</si>
  <si>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</si>
  <si>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</si>
  <si>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</si>
  <si>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</si>
  <si>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</si>
  <si>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</si>
  <si>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</si>
  <si>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</si>
  <si>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</si>
  <si>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</si>
  <si>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</si>
  <si>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</si>
  <si>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</si>
  <si>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</si>
  <si>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</si>
  <si>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</si>
  <si>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</si>
  <si>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</si>
  <si>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</si>
  <si>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</si>
  <si>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</si>
  <si>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</si>
  <si>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</si>
  <si>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</si>
  <si>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</si>
  <si>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</si>
  <si>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</si>
  <si>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</si>
  <si>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</si>
  <si>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</si>
  <si>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</si>
  <si>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</si>
  <si>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</si>
  <si>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</si>
  <si>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</si>
  <si>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</si>
  <si>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</si>
  <si>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</si>
  <si>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</si>
  <si>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</si>
  <si>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</si>
  <si>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</si>
  <si>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</si>
  <si>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</si>
  <si>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</si>
  <si>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</si>
  <si>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</si>
  <si>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</si>
  <si>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</si>
  <si>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</si>
  <si>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</si>
  <si>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</si>
  <si>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</si>
  <si>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</si>
  <si>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</si>
  <si>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</si>
  <si>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</si>
  <si>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</si>
  <si>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</si>
  <si>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</si>
  <si>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</si>
  <si>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</si>
  <si>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</si>
  <si>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</si>
  <si>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</si>
  <si>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</si>
  <si>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</si>
  <si>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</si>
  <si>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</si>
  <si>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</si>
  <si>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</si>
  <si>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</si>
  <si>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</si>
  <si>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</si>
  <si>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</si>
  <si>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</si>
  <si>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</si>
  <si>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</si>
  <si>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</si>
  <si>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</si>
  <si>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</si>
  <si>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</si>
  <si>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</si>
  <si>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</si>
  <si>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</si>
  <si>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</si>
  <si>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</si>
  <si>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</si>
  <si>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</si>
  <si>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</si>
  <si>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</si>
  <si>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</si>
  <si>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</si>
  <si>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</si>
  <si>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</si>
  <si>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</si>
  <si>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</si>
  <si>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</si>
  <si>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</si>
  <si>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</si>
  <si>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</si>
  <si>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</si>
  <si>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</si>
  <si>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</si>
  <si>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</si>
  <si>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</si>
  <si>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</si>
  <si>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</si>
  <si>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</si>
  <si>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</si>
  <si>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</si>
  <si>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</si>
  <si>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</si>
  <si>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</si>
  <si>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</si>
  <si>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</si>
  <si>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</si>
  <si>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</si>
  <si>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</si>
  <si>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</si>
  <si>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</si>
  <si>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</si>
  <si>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</si>
  <si>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</si>
  <si>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</si>
  <si>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</si>
  <si>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</si>
  <si>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</si>
  <si>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</si>
  <si>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</si>
  <si>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</si>
  <si>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</si>
  <si>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</si>
  <si>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</si>
  <si>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</si>
  <si>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</si>
  <si>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</si>
  <si>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</si>
  <si>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</si>
  <si>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</si>
  <si>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</si>
  <si>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</si>
  <si>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</si>
  <si>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</si>
  <si>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</si>
  <si>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</si>
  <si>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</si>
  <si>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</si>
  <si>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</si>
  <si>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</si>
  <si>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</si>
  <si>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</si>
  <si>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</si>
  <si>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</si>
  <si>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</si>
  <si>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</si>
  <si>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</si>
  <si>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</si>
  <si>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</si>
  <si>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</si>
  <si>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</si>
  <si>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</si>
  <si>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</si>
  <si>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</si>
  <si>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</si>
  <si>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</si>
  <si>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</si>
  <si>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</si>
  <si>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</si>
  <si>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</si>
  <si>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</si>
  <si>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</si>
  <si>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</si>
  <si>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</si>
  <si>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</si>
  <si>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</si>
  <si>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</si>
  <si>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</si>
  <si>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</si>
  <si>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</si>
  <si>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</si>
  <si>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</si>
  <si>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</si>
  <si>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</si>
  <si>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</si>
  <si>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</si>
  <si>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</si>
  <si>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</si>
  <si>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</si>
  <si>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</si>
  <si>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</si>
  <si>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</si>
  <si>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</si>
  <si>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</si>
  <si>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</si>
  <si>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</si>
  <si>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</si>
  <si>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</si>
  <si>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</si>
  <si>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</si>
  <si>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</si>
  <si>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</si>
  <si>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</si>
  <si>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</si>
  <si>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</si>
  <si>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</si>
  <si>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</si>
  <si>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</si>
  <si>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</si>
  <si>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</si>
  <si>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</si>
  <si>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</si>
  <si>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</si>
  <si>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</si>
  <si>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</si>
  <si>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</si>
  <si>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</si>
  <si>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</si>
  <si>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</si>
  <si>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</si>
  <si>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</si>
  <si>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</si>
  <si>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</si>
  <si>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</si>
  <si>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</si>
  <si>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</si>
  <si>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</si>
  <si>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</si>
  <si>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</si>
  <si>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</si>
  <si>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</si>
  <si>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</si>
  <si>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</si>
  <si>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</si>
  <si>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</si>
  <si>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</si>
  <si>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</si>
  <si>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</si>
  <si>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</si>
  <si>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</si>
  <si>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</si>
  <si>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</si>
  <si>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</si>
  <si>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</si>
  <si>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</si>
  <si>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</si>
  <si>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</si>
  <si>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</si>
  <si>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</si>
  <si>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</si>
  <si>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</si>
  <si>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</si>
  <si>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</si>
  <si>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</si>
  <si>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</si>
  <si>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</si>
  <si>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</si>
  <si>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</si>
  <si>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</si>
  <si>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</si>
  <si>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</si>
  <si>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</si>
  <si>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</si>
  <si>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</si>
  <si>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</si>
  <si>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</si>
  <si>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</si>
  <si>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</si>
  <si>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</si>
  <si>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</si>
  <si>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</si>
  <si>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</si>
  <si>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</si>
  <si>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</si>
  <si>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</si>
  <si>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</si>
  <si>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</si>
  <si>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</si>
  <si>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</si>
  <si>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</si>
  <si>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</si>
  <si>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</si>
  <si>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</si>
  <si>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</si>
  <si>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</si>
  <si>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</si>
  <si>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</si>
  <si>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</si>
  <si>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</si>
  <si>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</si>
  <si>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</si>
  <si>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</si>
  <si>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</si>
  <si>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</si>
  <si>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</si>
  <si>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</si>
  <si>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</si>
  <si>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</si>
  <si>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</si>
  <si>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</si>
  <si>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</si>
  <si>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</si>
  <si>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</si>
  <si>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</si>
  <si>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</si>
  <si>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</si>
  <si>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</si>
  <si>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</si>
  <si>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</si>
  <si>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</si>
  <si>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</si>
  <si>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</si>
  <si>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</si>
  <si>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</si>
  <si>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</si>
  <si>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</si>
  <si>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</si>
  <si>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</si>
  <si>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</si>
  <si>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</si>
  <si>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</si>
  <si>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</si>
  <si>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</si>
  <si>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</si>
  <si>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</si>
  <si>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</si>
  <si>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</si>
  <si>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</si>
  <si>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</si>
  <si>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</si>
  <si>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</si>
  <si>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</si>
  <si>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</si>
  <si>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</si>
  <si>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</si>
  <si>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</si>
  <si>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</si>
  <si>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</si>
  <si>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</si>
  <si>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</si>
  <si>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</si>
  <si>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</si>
  <si>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</si>
  <si>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</si>
  <si>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</si>
  <si>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</si>
  <si>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</si>
  <si>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</si>
  <si>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</si>
  <si>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</si>
  <si>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</si>
  <si>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</si>
  <si>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</si>
  <si>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</si>
  <si>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</si>
  <si>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</si>
  <si>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</si>
  <si>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</si>
  <si>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</si>
  <si>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</si>
  <si>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</si>
  <si>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</si>
  <si>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</si>
  <si>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</si>
  <si>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</si>
  <si>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</si>
  <si>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</si>
  <si>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</si>
  <si>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</si>
  <si>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</si>
  <si>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</si>
  <si>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</si>
  <si>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</si>
  <si>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</si>
  <si>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</si>
  <si>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</si>
  <si>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</si>
  <si>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</si>
  <si>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</si>
  <si>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</si>
  <si>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</si>
  <si>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</si>
  <si>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</si>
  <si>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</si>
  <si>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</si>
  <si>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</si>
  <si>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</si>
  <si>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</si>
  <si>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</si>
  <si>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</si>
  <si>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</si>
  <si>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</si>
  <si>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</si>
  <si>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</si>
  <si>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</si>
  <si>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</si>
  <si>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</si>
  <si>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</si>
  <si>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</si>
  <si>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</si>
  <si>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</si>
  <si>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</si>
  <si>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</si>
  <si>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</si>
  <si>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</si>
  <si>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</si>
  <si>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</si>
  <si>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</si>
  <si>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</si>
  <si>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</si>
  <si>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</si>
  <si>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</si>
  <si>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</si>
  <si>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</si>
  <si>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</si>
  <si>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</si>
  <si>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</si>
  <si>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</si>
  <si>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</si>
  <si>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</si>
  <si>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</si>
  <si>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</si>
  <si>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</si>
  <si>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</si>
  <si>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</si>
  <si>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</si>
  <si>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</si>
  <si>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</si>
  <si>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</si>
  <si>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</si>
  <si>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</si>
  <si>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</si>
  <si>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</si>
  <si>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</si>
  <si>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</si>
  <si>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</si>
  <si>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</si>
  <si>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</si>
  <si>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</si>
  <si>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</si>
  <si>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</si>
  <si>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</si>
  <si>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</si>
  <si>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</si>
  <si>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</si>
  <si>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</si>
  <si>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</si>
  <si>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</si>
  <si>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</si>
  <si>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</si>
  <si>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</si>
  <si>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</si>
  <si>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</si>
  <si>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</si>
  <si>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</si>
  <si>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</si>
  <si>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</si>
  <si>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</si>
  <si>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</si>
  <si>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</si>
  <si>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</si>
  <si>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</si>
  <si>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</si>
  <si>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</si>
  <si>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</si>
  <si>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</si>
  <si>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</si>
  <si>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</si>
  <si>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</si>
  <si>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</si>
  <si>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</si>
  <si>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</si>
  <si>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</si>
  <si>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</si>
  <si>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</si>
  <si>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</si>
  <si>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</si>
  <si>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</si>
  <si>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</si>
  <si>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</si>
  <si>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</si>
  <si>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</si>
  <si>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</si>
  <si>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</si>
  <si>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</si>
  <si>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</si>
  <si>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</si>
  <si>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</si>
  <si>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</si>
  <si>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</si>
  <si>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</si>
  <si>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</si>
  <si>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</si>
  <si>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</si>
  <si>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</si>
  <si>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</si>
  <si>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</si>
  <si>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</si>
  <si>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</si>
  <si>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</si>
  <si>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</si>
  <si>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</si>
  <si>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</si>
  <si>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</si>
  <si>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</si>
  <si>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</si>
  <si>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</si>
  <si>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</si>
  <si>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</si>
  <si>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</si>
  <si>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</si>
  <si>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</si>
  <si>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</si>
  <si>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</si>
  <si>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</si>
  <si>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</si>
  <si>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</si>
  <si>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</si>
  <si>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</si>
  <si>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</si>
  <si>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</si>
  <si>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</si>
  <si>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</si>
  <si>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</si>
  <si>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</si>
  <si>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</si>
  <si>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</si>
  <si>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</si>
  <si>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</si>
  <si>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</si>
  <si>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</si>
  <si>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</si>
  <si>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</si>
  <si>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</si>
  <si>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</si>
  <si>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</si>
  <si>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</si>
  <si>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</si>
  <si>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</si>
  <si>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</si>
  <si>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</si>
  <si>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</si>
  <si>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</si>
  <si>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</si>
  <si>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</si>
  <si>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</si>
  <si>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</si>
  <si>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</si>
  <si>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</si>
  <si>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</si>
  <si>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</si>
  <si>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</si>
  <si>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</si>
  <si>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</si>
  <si>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</si>
  <si>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</si>
  <si>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</si>
  <si>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</si>
  <si>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</si>
  <si>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</si>
  <si>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</si>
  <si>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</si>
  <si>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</si>
  <si>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</si>
  <si>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</si>
  <si>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</si>
  <si>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</si>
  <si>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</si>
  <si>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</si>
  <si>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</si>
  <si>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</si>
  <si>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</si>
  <si>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</si>
  <si>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</si>
  <si>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</si>
  <si>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</si>
  <si>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</si>
  <si>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</si>
  <si>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</si>
  <si>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</si>
  <si>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</si>
  <si>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</si>
  <si>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</si>
  <si>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</si>
  <si>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</si>
  <si>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</si>
  <si>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</si>
  <si>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</si>
  <si>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</si>
  <si>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</si>
  <si>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</si>
  <si>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</si>
  <si>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</si>
  <si>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</si>
  <si>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</si>
  <si>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</si>
  <si>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</si>
  <si>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</si>
  <si>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</si>
  <si>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</si>
  <si>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</si>
  <si>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</si>
  <si>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</si>
  <si>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</si>
  <si>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</si>
  <si>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</si>
  <si>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</si>
  <si>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</si>
  <si>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</si>
  <si>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</si>
  <si>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</si>
  <si>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</si>
  <si>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</si>
  <si>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</si>
  <si>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</si>
  <si>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</si>
  <si>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</si>
  <si>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</si>
  <si>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</si>
  <si>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</si>
  <si>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</si>
  <si>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</si>
  <si>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</si>
  <si>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</si>
  <si>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</si>
  <si>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</si>
  <si>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</si>
  <si>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</si>
  <si>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</si>
  <si>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</si>
  <si>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</si>
  <si>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</si>
  <si>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</si>
  <si>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</si>
  <si>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</si>
  <si>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</si>
  <si>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</si>
  <si>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</si>
  <si>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</si>
  <si>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</si>
  <si>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</si>
  <si>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</si>
  <si>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</si>
  <si>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</si>
  <si>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</si>
  <si>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</si>
  <si>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</si>
  <si>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</si>
  <si>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</si>
  <si>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</si>
  <si>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</si>
  <si>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</si>
  <si>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</si>
  <si>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</si>
  <si>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</si>
  <si>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</si>
  <si>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</si>
  <si>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</si>
  <si>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</si>
  <si>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</si>
  <si>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</si>
  <si>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</si>
  <si>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</si>
  <si>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</si>
  <si>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</si>
  <si>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</si>
  <si>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</si>
  <si>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</si>
  <si>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</si>
  <si>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</si>
  <si>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</si>
  <si>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</si>
  <si>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</si>
  <si>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</si>
  <si>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</si>
  <si>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</si>
  <si>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</si>
  <si>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</si>
  <si>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</si>
  <si>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</si>
  <si>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</si>
  <si>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</si>
  <si>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</si>
  <si>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</si>
  <si>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</si>
  <si>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</si>
  <si>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</si>
  <si>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</si>
  <si>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</si>
  <si>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</si>
  <si>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</si>
  <si>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</si>
  <si>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</si>
  <si>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</si>
  <si>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</si>
  <si>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</si>
  <si>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</si>
  <si>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</si>
  <si>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</si>
  <si>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</si>
  <si>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</si>
  <si>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</si>
  <si>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</si>
  <si>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</si>
  <si>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</si>
  <si>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</si>
  <si>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</si>
  <si>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</si>
  <si>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</si>
  <si>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</si>
  <si>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</si>
  <si>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</si>
  <si>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</si>
  <si>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</si>
  <si>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</si>
  <si>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</si>
  <si>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</si>
  <si>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</si>
  <si>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</si>
  <si>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</si>
  <si>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</si>
  <si>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</si>
  <si>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</si>
  <si>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</si>
  <si>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</si>
  <si>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</si>
  <si>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</si>
  <si>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</si>
  <si>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</si>
  <si>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</si>
  <si>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</si>
  <si>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</si>
  <si>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</si>
  <si>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</si>
  <si>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</si>
  <si>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</si>
  <si>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</si>
  <si>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</si>
  <si>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</si>
  <si>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</si>
  <si>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</si>
  <si>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</si>
  <si>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</si>
  <si>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</si>
  <si>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</si>
  <si>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</si>
  <si>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</si>
  <si>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</si>
  <si>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</si>
  <si>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</si>
  <si>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</si>
  <si>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</si>
  <si>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</si>
  <si>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</si>
  <si>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</si>
  <si>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</si>
  <si>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</si>
  <si>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</si>
  <si>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</si>
  <si>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</si>
  <si>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</si>
  <si>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</si>
  <si>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</si>
  <si>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</si>
  <si>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</si>
  <si>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</si>
  <si>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</si>
  <si>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</si>
  <si>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</si>
  <si>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</si>
  <si>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</si>
  <si>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</si>
  <si>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</si>
  <si>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</si>
  <si>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</si>
  <si>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</si>
  <si>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</si>
  <si>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</si>
  <si>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</si>
  <si>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</si>
  <si>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</si>
  <si>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</si>
  <si>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</si>
  <si>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</si>
  <si>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</si>
  <si>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</si>
  <si>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</si>
  <si>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</si>
  <si>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</si>
  <si>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</si>
  <si>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</si>
  <si>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</si>
  <si>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</si>
  <si>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</si>
  <si>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</si>
  <si>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</si>
  <si>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</si>
  <si>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</si>
  <si>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</si>
  <si>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</si>
  <si>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</si>
  <si>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</si>
  <si>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</si>
  <si>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</si>
  <si>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</si>
  <si>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</si>
  <si>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</si>
  <si>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</si>
  <si>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</si>
  <si>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</si>
  <si>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</si>
  <si>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</si>
  <si>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</si>
  <si>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</si>
  <si>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</si>
  <si>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</si>
  <si>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</si>
  <si>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</si>
  <si>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</si>
  <si>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</si>
  <si>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</si>
  <si>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</si>
  <si>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</si>
  <si>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</si>
  <si>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</si>
  <si>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</si>
  <si>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</si>
  <si>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</si>
  <si>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</si>
  <si>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</si>
  <si>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</si>
  <si>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</si>
  <si>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</si>
  <si>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</si>
  <si>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</si>
  <si>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</si>
  <si>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</si>
  <si>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</si>
  <si>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</si>
  <si>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</si>
  <si>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</si>
  <si>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</si>
  <si>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</si>
  <si>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</si>
  <si>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</si>
  <si>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</si>
  <si>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</si>
  <si>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</si>
  <si>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</si>
  <si>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</si>
  <si>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</si>
  <si>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</si>
  <si>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</si>
  <si>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</si>
  <si>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</si>
  <si>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</si>
  <si>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</si>
  <si>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</si>
  <si>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</si>
  <si>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</si>
  <si>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</si>
  <si>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</si>
  <si>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</si>
  <si>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</si>
  <si>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</si>
  <si>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</si>
  <si>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</si>
  <si>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</si>
  <si>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</si>
  <si>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</si>
  <si>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</si>
  <si>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</si>
  <si>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</si>
  <si>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</si>
  <si>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</si>
  <si>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</si>
  <si>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</si>
  <si>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</si>
  <si>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</si>
  <si>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</si>
  <si>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</si>
  <si>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</si>
  <si>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</si>
  <si>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</si>
  <si>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</si>
  <si>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</si>
  <si>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</si>
  <si>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</si>
  <si>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</si>
  <si>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</si>
  <si>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</si>
  <si>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</si>
  <si>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</si>
  <si>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</si>
  <si>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</si>
  <si>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</si>
  <si>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</si>
  <si>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</si>
  <si>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</si>
  <si>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</si>
  <si>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</si>
  <si>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</si>
  <si>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</si>
  <si>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</si>
  <si>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</si>
  <si>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</si>
  <si>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</si>
  <si>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</si>
  <si>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</si>
  <si>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</si>
  <si>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</si>
  <si>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</si>
  <si>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</si>
  <si>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</si>
  <si>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</si>
  <si>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</si>
  <si>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</si>
  <si>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</si>
  <si>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</si>
  <si>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</si>
  <si>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</si>
  <si>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</si>
  <si>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</si>
  <si>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</si>
  <si>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</si>
  <si>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</si>
  <si>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</si>
  <si>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</si>
  <si>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</si>
  <si>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</si>
  <si>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</si>
  <si>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</si>
  <si>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</si>
  <si>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</si>
  <si>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</si>
  <si>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</si>
  <si>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</si>
  <si>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</si>
  <si>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</si>
  <si>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</si>
  <si>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</si>
  <si>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</si>
  <si>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</si>
  <si>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</si>
  <si>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</si>
  <si>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</si>
  <si>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</si>
  <si>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</si>
  <si>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</si>
  <si>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</si>
  <si>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</si>
  <si>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</si>
  <si>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</si>
  <si>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</si>
  <si>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</si>
  <si>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</si>
  <si>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</si>
  <si>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</si>
  <si>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</si>
  <si>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</si>
  <si>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</si>
  <si>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</si>
  <si>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</si>
  <si>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</si>
  <si>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</si>
  <si>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</si>
  <si>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</si>
  <si>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</si>
  <si>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</si>
  <si>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</si>
  <si>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</si>
  <si>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</si>
  <si>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</si>
  <si>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</si>
  <si>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</si>
  <si>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</si>
  <si>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</si>
  <si>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</si>
  <si>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</si>
  <si>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</si>
  <si>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</si>
  <si>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</si>
  <si>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</si>
  <si>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</si>
  <si>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</si>
  <si>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</si>
  <si>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</si>
  <si>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</si>
  <si>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</si>
  <si>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</si>
  <si>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</si>
  <si>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</si>
  <si>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</si>
  <si>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</si>
  <si>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</si>
  <si>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</si>
  <si>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</si>
  <si>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</si>
  <si>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</si>
  <si>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</si>
  <si>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</si>
  <si>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</si>
  <si>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</si>
  <si>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</si>
  <si>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</si>
  <si>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</si>
  <si>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</si>
  <si>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</si>
  <si>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</si>
  <si>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</si>
  <si>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</si>
  <si>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</si>
  <si>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</si>
  <si>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</si>
  <si>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</si>
  <si>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</si>
  <si>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</si>
  <si>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</si>
  <si>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</si>
  <si>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</si>
  <si>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</si>
  <si>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</si>
  <si>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</si>
  <si>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</si>
  <si>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</si>
  <si>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</si>
  <si>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</si>
  <si>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</si>
  <si>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</si>
  <si>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</si>
  <si>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</si>
  <si>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</si>
  <si>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</si>
  <si>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</si>
  <si>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</si>
  <si>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</si>
  <si>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</si>
  <si>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</si>
  <si>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</si>
  <si>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</si>
  <si>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</si>
  <si>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</si>
  <si>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</si>
  <si>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</si>
  <si>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</si>
  <si>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</si>
  <si>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</si>
  <si>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</si>
  <si>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</si>
  <si>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</si>
  <si>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</si>
  <si>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</si>
  <si>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</si>
  <si>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</si>
  <si>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</si>
  <si>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</si>
  <si>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</si>
  <si>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</si>
  <si>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</si>
  <si>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</si>
  <si>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</si>
  <si>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</si>
  <si>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</si>
  <si>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</si>
  <si>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</si>
  <si>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</si>
  <si>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</si>
  <si>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</si>
  <si>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</si>
  <si>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</si>
  <si>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</si>
  <si>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</si>
  <si>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</si>
  <si>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</si>
  <si>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</si>
  <si>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</si>
  <si>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</si>
  <si>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</si>
  <si>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</si>
  <si>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</si>
  <si>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</si>
  <si>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</si>
  <si>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</si>
  <si>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</si>
  <si>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</si>
  <si>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</si>
  <si>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</si>
  <si>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</si>
  <si>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</si>
  <si>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</si>
  <si>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</si>
  <si>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</si>
  <si>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</si>
  <si>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</si>
  <si>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</si>
  <si>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</si>
  <si>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</si>
  <si>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</si>
  <si>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</si>
  <si>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</si>
  <si>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</si>
  <si>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</si>
  <si>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</si>
  <si>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</si>
  <si>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</si>
  <si>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</si>
  <si>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</si>
  <si>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</si>
  <si>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</si>
  <si>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</si>
  <si>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</si>
  <si>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</si>
  <si>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</si>
  <si>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</si>
  <si>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</si>
  <si>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</si>
  <si>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</si>
  <si>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</si>
  <si>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</si>
  <si>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</si>
  <si>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</si>
  <si>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</si>
  <si>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</si>
  <si>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</si>
  <si>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</si>
  <si>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</si>
  <si>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</si>
  <si>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</si>
  <si>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</si>
  <si>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</si>
  <si>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</si>
  <si>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</si>
  <si>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</si>
  <si>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</si>
  <si>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</si>
  <si>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</si>
  <si>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</si>
  <si>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</si>
  <si>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</si>
  <si>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</si>
  <si>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</si>
  <si>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</si>
  <si>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</si>
  <si>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</si>
  <si>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</si>
  <si>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</si>
  <si>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</si>
  <si>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</si>
  <si>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</si>
  <si>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</si>
  <si>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</si>
  <si>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</si>
  <si>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</si>
  <si>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</si>
  <si>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</si>
  <si>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</si>
  <si>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</si>
  <si>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</si>
  <si>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</si>
  <si>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</si>
  <si>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</si>
  <si>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</si>
  <si>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</si>
  <si>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</si>
  <si>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</si>
  <si>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</si>
  <si>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</si>
  <si>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</si>
  <si>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</si>
  <si>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</si>
  <si>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</si>
  <si>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</si>
  <si>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</si>
  <si>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</si>
  <si>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</si>
  <si>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</si>
  <si>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</si>
  <si>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</si>
  <si>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</si>
  <si>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</si>
  <si>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</si>
  <si>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</si>
  <si>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</si>
  <si>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</si>
  <si>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</si>
  <si>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</si>
  <si>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</si>
  <si>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</si>
  <si>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</si>
  <si>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</si>
  <si>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</si>
  <si>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</si>
  <si>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</si>
  <si>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</si>
  <si>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</si>
  <si>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</si>
  <si>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</si>
  <si>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</si>
  <si>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</si>
  <si>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</si>
  <si>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</si>
  <si>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</si>
  <si>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</si>
  <si>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</si>
  <si>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</si>
  <si>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</si>
  <si>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</si>
  <si>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</si>
  <si>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</si>
  <si>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</si>
  <si>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</si>
  <si>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</si>
  <si>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</si>
  <si>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</si>
  <si>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</si>
  <si>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</si>
  <si>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</si>
  <si>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</si>
  <si>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</si>
  <si>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</si>
  <si>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</si>
  <si>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</si>
  <si>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</si>
  <si>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</si>
  <si>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</si>
  <si>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</si>
  <si>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</si>
  <si>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</si>
  <si>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</si>
  <si>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</si>
  <si>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</si>
  <si>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</si>
  <si>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</si>
  <si>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</si>
  <si>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</si>
  <si>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</si>
  <si>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</si>
  <si>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</si>
  <si>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</si>
  <si>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</si>
  <si>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</si>
  <si>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</si>
  <si>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</si>
  <si>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</si>
  <si>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</si>
  <si>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</si>
  <si>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</si>
  <si>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</si>
  <si>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</si>
  <si>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</si>
  <si>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</si>
  <si>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</si>
  <si>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</si>
  <si>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</si>
  <si>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</si>
  <si>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</si>
  <si>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</si>
  <si>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</si>
  <si>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</si>
  <si>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</si>
  <si>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</si>
  <si>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</si>
  <si>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</si>
  <si>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</si>
  <si>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</si>
  <si>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</si>
  <si>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</si>
  <si>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</si>
  <si>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</si>
  <si>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</si>
  <si>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</si>
  <si>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</si>
  <si>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</si>
  <si>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</si>
  <si>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</si>
  <si>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</si>
  <si>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</si>
  <si>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</si>
  <si>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</si>
  <si>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</si>
  <si>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</si>
  <si>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</si>
  <si>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</si>
  <si>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</si>
  <si>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</si>
  <si>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</si>
  <si>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</si>
  <si>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</si>
  <si>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</si>
  <si>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</si>
  <si>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</si>
  <si>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</si>
  <si>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</si>
  <si>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</si>
  <si>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</si>
  <si>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</si>
  <si>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</si>
  <si>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</si>
  <si>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</si>
  <si>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</si>
  <si>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</si>
  <si>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</si>
  <si>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</si>
  <si>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</si>
  <si>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</si>
  <si>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</si>
  <si>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</si>
  <si>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</si>
  <si>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</si>
  <si>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</si>
  <si>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</si>
  <si>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</si>
  <si>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</si>
  <si>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</si>
  <si>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</si>
  <si>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</si>
  <si>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</si>
  <si>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</si>
  <si>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</si>
  <si>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</si>
  <si>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</si>
  <si>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</si>
  <si>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</si>
  <si>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</si>
  <si>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</si>
  <si>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</si>
  <si>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</si>
  <si>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</si>
  <si>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</si>
  <si>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</si>
  <si>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</si>
  <si>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</si>
  <si>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</si>
  <si>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</si>
  <si>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</si>
  <si>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</si>
  <si>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</si>
  <si>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</si>
  <si>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</si>
  <si>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</si>
  <si>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</si>
  <si>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</si>
  <si>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</si>
  <si>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</si>
  <si>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</si>
  <si>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</si>
  <si>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</si>
  <si>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</si>
  <si>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</si>
  <si>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</si>
  <si>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</si>
  <si>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</si>
  <si>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</si>
  <si>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</si>
  <si>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</si>
  <si>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</si>
  <si>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</si>
  <si>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</si>
  <si>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</si>
  <si>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</si>
  <si>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</si>
  <si>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</si>
  <si>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</si>
  <si>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</si>
  <si>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</si>
  <si>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</si>
  <si>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</si>
  <si>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</si>
  <si>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</si>
  <si>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</si>
  <si>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</si>
  <si>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</si>
  <si>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</si>
  <si>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</si>
  <si>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</si>
  <si>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</si>
  <si>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</si>
  <si>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</si>
  <si>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</si>
  <si>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</si>
  <si>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</si>
  <si>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</si>
  <si>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</si>
  <si>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</si>
  <si>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</si>
  <si>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</si>
  <si>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</si>
  <si>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</si>
  <si>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</si>
  <si>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</si>
  <si>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</si>
  <si>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</si>
  <si>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</si>
  <si>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</si>
  <si>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</si>
  <si>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</si>
  <si>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</si>
  <si>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</si>
  <si>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</si>
  <si>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</si>
  <si>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</si>
  <si>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</si>
  <si>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</si>
  <si>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</si>
  <si>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</si>
  <si>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</si>
  <si>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</si>
  <si>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</si>
  <si>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</si>
  <si>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</si>
  <si>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</si>
  <si>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</si>
  <si>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</si>
  <si>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</si>
  <si>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</si>
  <si>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</si>
  <si>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</si>
  <si>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</si>
  <si>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</si>
  <si>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</si>
  <si>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</si>
  <si>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</si>
  <si>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</si>
  <si>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</si>
  <si>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</si>
  <si>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</si>
  <si>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</si>
  <si>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</si>
  <si>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</si>
  <si>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</si>
  <si>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</si>
  <si>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</si>
  <si>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</si>
  <si>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</si>
  <si>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</si>
  <si>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</si>
  <si>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</si>
  <si>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</si>
  <si>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</si>
  <si>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</si>
  <si>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</si>
  <si>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</si>
  <si>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</si>
  <si>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</si>
  <si>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</si>
  <si>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</si>
  <si>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</si>
  <si>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</si>
  <si>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</si>
  <si>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</si>
  <si>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</si>
  <si>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</si>
  <si>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</si>
  <si>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</si>
  <si>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</si>
  <si>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</si>
  <si>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</si>
  <si>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</si>
  <si>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</si>
  <si>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</si>
  <si>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</si>
  <si>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</si>
  <si>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</si>
  <si>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</si>
  <si>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</si>
  <si>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</si>
  <si>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</si>
  <si>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</si>
  <si>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</si>
  <si>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</si>
  <si>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</si>
  <si>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</si>
  <si>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</si>
  <si>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</si>
  <si>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</si>
  <si>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</si>
  <si>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</si>
  <si>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</si>
  <si>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</si>
  <si>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</si>
  <si>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</si>
  <si>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</si>
  <si>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</si>
  <si>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</si>
  <si>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</si>
  <si>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</si>
  <si>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</si>
  <si>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</si>
  <si>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</si>
  <si>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</si>
  <si>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</si>
  <si>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</si>
  <si>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</si>
  <si>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</si>
  <si>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</si>
  <si>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</si>
  <si>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</si>
  <si>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</si>
  <si>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</si>
  <si>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</si>
  <si>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</si>
  <si>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</si>
  <si>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</si>
  <si>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</si>
  <si>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</si>
  <si>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</si>
  <si>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</si>
  <si>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</si>
  <si>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</si>
  <si>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</si>
  <si>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</si>
  <si>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</si>
  <si>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</si>
  <si>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</si>
  <si>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</si>
  <si>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</si>
  <si>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</si>
  <si>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</si>
  <si>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</si>
  <si>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</si>
  <si>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</si>
  <si>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</si>
  <si>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</si>
  <si>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</si>
  <si>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</si>
  <si>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</si>
  <si>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</si>
  <si>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</si>
  <si>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</si>
  <si>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</si>
  <si>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</si>
  <si>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</si>
  <si>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</si>
  <si>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</si>
  <si>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</si>
  <si>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</si>
  <si>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</si>
  <si>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</si>
  <si>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</si>
  <si>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</si>
  <si>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</si>
  <si>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</si>
  <si>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</si>
  <si>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</si>
  <si>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</si>
  <si>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</si>
  <si>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</si>
  <si>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</si>
  <si>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</si>
  <si>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</si>
  <si>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</si>
  <si>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</si>
  <si>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</si>
  <si>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</si>
  <si>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</si>
  <si>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</si>
  <si>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</si>
  <si>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</si>
  <si>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</si>
  <si>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</si>
  <si>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</si>
  <si>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</si>
  <si>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</si>
  <si>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</si>
  <si>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</si>
  <si>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</si>
  <si>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</si>
  <si>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</si>
  <si>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</si>
  <si>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</si>
  <si>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</si>
  <si>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</si>
  <si>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</si>
  <si>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</si>
  <si>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</si>
  <si>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</si>
  <si>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</si>
  <si>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</si>
  <si>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</si>
  <si>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</si>
  <si>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</si>
  <si>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</si>
  <si>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</si>
  <si>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</si>
  <si>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</si>
  <si>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</si>
  <si>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</si>
  <si>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</si>
  <si>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</si>
  <si>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</si>
  <si>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</si>
  <si>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</si>
  <si>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</si>
  <si>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</si>
  <si>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</si>
  <si>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</si>
  <si>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</si>
  <si>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</si>
  <si>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</si>
  <si>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</si>
  <si>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</si>
  <si>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</si>
  <si>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</si>
  <si>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</si>
  <si>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</si>
  <si>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</si>
  <si>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</si>
  <si>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</si>
  <si>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</si>
  <si>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</si>
  <si>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</si>
  <si>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</si>
  <si>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</si>
  <si>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</si>
  <si>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</si>
  <si>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</si>
  <si>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</si>
  <si>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</si>
  <si>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</si>
  <si>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</si>
  <si>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</si>
  <si>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</si>
  <si>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</si>
  <si>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</si>
  <si>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</si>
  <si>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</si>
  <si>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</si>
  <si>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</si>
  <si>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</si>
  <si>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</si>
  <si>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</si>
  <si>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</si>
  <si>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</si>
  <si>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</si>
  <si>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</si>
  <si>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</si>
  <si>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</si>
  <si>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</si>
  <si>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</si>
  <si>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</si>
  <si>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</si>
  <si>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</si>
  <si>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</si>
  <si>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</si>
  <si>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</si>
  <si>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</si>
  <si>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</si>
  <si>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</si>
  <si>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</si>
  <si>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</si>
  <si>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</si>
  <si>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</si>
  <si>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</si>
  <si>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</si>
  <si>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</si>
  <si>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</si>
  <si>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</si>
  <si>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</si>
  <si>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</si>
  <si>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</si>
  <si>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</si>
  <si>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</si>
  <si>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</si>
  <si>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</si>
  <si>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</si>
  <si>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</si>
  <si>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</si>
  <si>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</si>
  <si>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</si>
  <si>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</si>
  <si>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</si>
  <si>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</si>
  <si>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</si>
  <si>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</si>
  <si>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</si>
  <si>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</si>
  <si>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</si>
  <si>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</si>
  <si>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</si>
  <si>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</si>
  <si>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</si>
  <si>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</si>
  <si>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</si>
  <si>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</si>
  <si>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</si>
  <si>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</si>
  <si>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</si>
  <si>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</si>
  <si>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</si>
  <si>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</si>
  <si>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</si>
  <si>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</si>
  <si>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</si>
  <si>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</si>
  <si>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</si>
  <si>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</si>
  <si>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</si>
  <si>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</si>
  <si>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</si>
  <si>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</si>
  <si>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</si>
  <si>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</si>
  <si>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</si>
  <si>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</si>
  <si>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</si>
  <si>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</si>
  <si>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</si>
  <si>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</si>
  <si>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</si>
  <si>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</si>
  <si>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</si>
  <si>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</si>
  <si>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</si>
  <si>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</si>
  <si>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</si>
  <si>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</si>
  <si>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</si>
  <si>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</si>
  <si>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</si>
  <si>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</si>
  <si>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</si>
  <si>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</si>
  <si>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</si>
  <si>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</si>
  <si>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</si>
  <si>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</si>
  <si>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</si>
  <si>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</si>
  <si>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</si>
  <si>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</si>
  <si>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</si>
  <si>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</si>
  <si>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</si>
  <si>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</si>
  <si>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</si>
  <si>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</si>
  <si>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</si>
  <si>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</si>
  <si>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</si>
  <si>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</si>
  <si>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</si>
  <si>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</si>
  <si>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</si>
  <si>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</si>
  <si>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</si>
  <si>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</si>
  <si>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</si>
  <si>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</si>
  <si>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</si>
  <si>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</si>
  <si>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</si>
  <si>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</si>
  <si>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</si>
  <si>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</si>
  <si>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</si>
  <si>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</si>
  <si>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</si>
  <si>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</si>
  <si>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</si>
  <si>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</si>
  <si>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</si>
  <si>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</si>
  <si>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</si>
  <si>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</si>
  <si>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</si>
  <si>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</si>
  <si>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</si>
  <si>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</si>
  <si>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</si>
  <si>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</si>
  <si>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</si>
  <si>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</si>
  <si>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</si>
  <si>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</si>
  <si>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</si>
  <si>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</si>
  <si>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</si>
  <si>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</si>
  <si>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</si>
  <si>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</si>
  <si>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</si>
  <si>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</si>
  <si>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</si>
  <si>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</si>
  <si>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</si>
  <si>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</si>
  <si>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</si>
  <si>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</si>
  <si>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</si>
  <si>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</si>
  <si>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</si>
  <si>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</si>
  <si>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</si>
  <si>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</si>
  <si>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</si>
  <si>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</si>
  <si>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</si>
  <si>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</si>
  <si>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</si>
  <si>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</si>
  <si>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</si>
  <si>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</si>
  <si>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</si>
  <si>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</si>
  <si>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</si>
  <si>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</si>
  <si>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</si>
  <si>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</si>
  <si>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</si>
  <si>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</si>
  <si>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</si>
  <si>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</si>
  <si>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</si>
  <si>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</si>
  <si>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</si>
  <si>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</si>
  <si>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</si>
  <si>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</si>
  <si>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</si>
  <si>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</si>
  <si>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</si>
  <si>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</si>
  <si>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</si>
  <si>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</si>
  <si>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</si>
  <si>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</si>
  <si>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</si>
  <si>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</si>
  <si>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</si>
  <si>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</si>
  <si>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</si>
  <si>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</si>
  <si>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</si>
  <si>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</si>
  <si>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</si>
  <si>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</si>
  <si>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</si>
  <si>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</si>
  <si>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</si>
  <si>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</si>
  <si>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</si>
  <si>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</si>
  <si>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</si>
  <si>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</si>
  <si>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</si>
  <si>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</si>
  <si>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</si>
  <si>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</si>
  <si>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</si>
  <si>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</si>
  <si>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</si>
  <si>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</si>
  <si>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</si>
  <si>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</si>
  <si>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</si>
  <si>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</si>
  <si>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</si>
  <si>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</si>
  <si>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</si>
  <si>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</si>
  <si>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</si>
  <si>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</si>
  <si>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</si>
  <si>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</si>
  <si>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</si>
  <si>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</si>
  <si>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</si>
  <si>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</si>
  <si>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</si>
  <si>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</si>
  <si>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</si>
  <si>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</si>
  <si>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</si>
  <si>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</si>
  <si>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</si>
  <si>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</si>
  <si>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</si>
  <si>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</si>
  <si>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</si>
  <si>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</si>
  <si>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</si>
  <si>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</si>
  <si>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</si>
  <si>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</si>
  <si>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</si>
  <si>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</si>
  <si>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</si>
  <si>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</si>
  <si>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</si>
  <si>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</si>
  <si>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</si>
  <si>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</si>
  <si>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</si>
  <si>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</si>
  <si>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</si>
  <si>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</si>
  <si>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</si>
  <si>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</si>
  <si>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</si>
  <si>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</si>
  <si>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</si>
  <si>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</si>
  <si>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</si>
  <si>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</si>
  <si>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</si>
  <si>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</si>
  <si>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</si>
  <si>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</si>
  <si>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</si>
  <si>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</si>
  <si>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</si>
  <si>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</si>
  <si>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</si>
  <si>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</si>
  <si>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</si>
  <si>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</si>
  <si>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</si>
  <si>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</si>
  <si>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</si>
  <si>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</si>
  <si>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</si>
  <si>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</si>
  <si>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</si>
  <si>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</si>
  <si>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</si>
  <si>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</si>
  <si>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</si>
  <si>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</si>
  <si>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</si>
  <si>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</si>
  <si>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</si>
  <si>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</si>
  <si>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</si>
  <si>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</si>
  <si>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</si>
  <si>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</si>
  <si>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</si>
  <si>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</si>
  <si>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</si>
  <si>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</si>
  <si>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</si>
  <si>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</si>
  <si>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</si>
  <si>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</si>
  <si>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</si>
  <si>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</si>
  <si>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</si>
  <si>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</si>
  <si>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</si>
  <si>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</si>
  <si>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</si>
  <si>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</si>
  <si>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</si>
  <si>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</si>
  <si>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</si>
  <si>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</si>
  <si>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</si>
  <si>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</si>
  <si>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</si>
  <si>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</si>
  <si>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</si>
  <si>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</si>
  <si>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</si>
  <si>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</si>
  <si>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</si>
  <si>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</si>
  <si>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</si>
  <si>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</si>
  <si>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</si>
  <si>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</si>
  <si>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</si>
  <si>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</si>
  <si>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</si>
  <si>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</si>
  <si>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</si>
  <si>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</si>
  <si>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</si>
  <si>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</si>
  <si>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</si>
  <si>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</si>
  <si>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</si>
  <si>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</si>
  <si>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</si>
  <si>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</si>
  <si>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</si>
  <si>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</si>
  <si>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</si>
  <si>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</si>
  <si>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</si>
  <si>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</si>
  <si>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</si>
  <si>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</si>
  <si>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</si>
  <si>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</si>
  <si>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</si>
  <si>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</si>
  <si>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</si>
  <si>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</si>
  <si>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</si>
  <si>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</si>
  <si>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</si>
  <si>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</si>
  <si>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</si>
  <si>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</si>
  <si>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</si>
  <si>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</si>
  <si>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</si>
  <si>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</si>
  <si>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</si>
  <si>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</si>
  <si>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</si>
  <si>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</si>
  <si>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</si>
  <si>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</si>
  <si>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</si>
  <si>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</si>
  <si>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</si>
  <si>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</si>
  <si>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</si>
  <si>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</si>
  <si>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</si>
  <si>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</si>
  <si>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</si>
  <si>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</si>
  <si>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</si>
  <si>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</si>
  <si>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</si>
  <si>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</si>
  <si>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</si>
  <si>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</si>
  <si>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</si>
  <si>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</si>
  <si>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</si>
  <si>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</si>
  <si>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</si>
  <si>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</si>
  <si>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</si>
  <si>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</si>
  <si>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</si>
  <si>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</si>
  <si>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</si>
  <si>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</si>
  <si>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</si>
  <si>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</si>
  <si>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</si>
  <si>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</si>
  <si>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</si>
  <si>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</si>
  <si>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</si>
  <si>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</si>
  <si>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</si>
  <si>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</si>
  <si>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</si>
  <si>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</si>
  <si>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</si>
  <si>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</si>
  <si>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</si>
  <si>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</si>
  <si>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</si>
  <si>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</si>
  <si>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</si>
  <si>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</si>
  <si>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</si>
  <si>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</si>
  <si>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</si>
  <si>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</si>
  <si>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</si>
  <si>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</si>
  <si>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</si>
  <si>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</si>
  <si>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</si>
  <si>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</si>
  <si>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</si>
  <si>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</si>
  <si>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</si>
  <si>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</si>
  <si>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</si>
  <si>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</si>
  <si>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</si>
  <si>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</si>
  <si>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</si>
  <si>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</si>
  <si>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</si>
  <si>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</si>
  <si>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</si>
  <si>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</si>
  <si>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</si>
  <si>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</si>
  <si>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</si>
  <si>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</si>
  <si>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</si>
  <si>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</si>
  <si>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</si>
  <si>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</si>
  <si>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</si>
  <si>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</si>
  <si>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</si>
  <si>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</si>
  <si>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</si>
  <si>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</si>
  <si>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</si>
  <si>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</si>
  <si>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</si>
  <si>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</si>
  <si>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</si>
  <si>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</si>
  <si>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</si>
  <si>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</si>
  <si>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</si>
  <si>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</si>
  <si>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</si>
  <si>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</si>
  <si>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</si>
  <si>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</si>
  <si>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</si>
  <si>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</si>
  <si>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</si>
  <si>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</si>
  <si>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</si>
  <si>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</si>
  <si>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</si>
  <si>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</si>
  <si>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</si>
  <si>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</si>
  <si>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</si>
  <si>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</si>
  <si>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</si>
  <si>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</si>
  <si>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</si>
  <si>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</si>
  <si>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</si>
  <si>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</si>
  <si>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</si>
  <si>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</si>
  <si>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</si>
  <si>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</si>
  <si>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</si>
  <si>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</si>
  <si>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</si>
  <si>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</si>
  <si>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</si>
  <si>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</si>
  <si>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</si>
  <si>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</si>
  <si>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</si>
  <si>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</si>
  <si>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</si>
  <si>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</si>
  <si>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</si>
  <si>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</si>
  <si>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</si>
  <si>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</si>
  <si>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</si>
  <si>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</si>
  <si>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</si>
  <si>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</si>
  <si>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</si>
  <si>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</si>
  <si>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</si>
  <si>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</si>
  <si>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</si>
  <si>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</si>
  <si>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</si>
  <si>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</si>
  <si>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</si>
  <si>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</si>
  <si>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</si>
  <si>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</si>
  <si>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</si>
  <si>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</si>
  <si>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</si>
  <si>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</si>
  <si>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</si>
  <si>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</si>
  <si>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</si>
  <si>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</si>
  <si>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</si>
  <si>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</si>
  <si>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</si>
  <si>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</si>
  <si>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</si>
  <si>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</si>
  <si>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</si>
  <si>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</si>
  <si>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</si>
  <si>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</si>
  <si>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</si>
  <si>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</si>
  <si>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</si>
  <si>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</si>
  <si>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</si>
  <si>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</si>
  <si>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</si>
  <si>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</si>
  <si>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</si>
  <si>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</si>
  <si>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</si>
  <si>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</si>
  <si>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</si>
  <si>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</si>
  <si>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</si>
  <si>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</si>
  <si>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</si>
  <si>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</si>
  <si>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</si>
  <si>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</si>
  <si>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</si>
  <si>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</si>
  <si>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</si>
  <si>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</si>
  <si>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</si>
  <si>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</si>
  <si>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</si>
  <si>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</si>
  <si>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</si>
  <si>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</si>
  <si>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</si>
  <si>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</si>
  <si>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</si>
  <si>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</si>
  <si>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</si>
  <si>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</si>
  <si>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</si>
  <si>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</si>
  <si>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</si>
  <si>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</si>
  <si>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</si>
  <si>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</si>
  <si>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</si>
  <si>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</si>
  <si>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</si>
  <si>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</si>
  <si>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</si>
  <si>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</si>
  <si>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</si>
  <si>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</si>
  <si>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</si>
  <si>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</si>
  <si>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</si>
  <si>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</si>
  <si>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</si>
  <si>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</si>
  <si>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</si>
  <si>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</si>
  <si>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</si>
  <si>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</si>
  <si>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</si>
  <si>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</si>
  <si>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</si>
  <si>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</si>
  <si>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</si>
  <si>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</si>
  <si>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</si>
  <si>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</si>
  <si>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</si>
  <si>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</si>
  <si>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</si>
  <si>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</si>
  <si>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</si>
  <si>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</si>
  <si>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</si>
  <si>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</si>
  <si>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</si>
  <si>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</si>
  <si>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</si>
  <si>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</si>
  <si>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</si>
  <si>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</si>
  <si>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</si>
  <si>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</si>
  <si>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</si>
  <si>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</si>
  <si>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</si>
  <si>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</si>
  <si>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</si>
  <si>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</si>
  <si>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</si>
  <si>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</si>
  <si>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</si>
  <si>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</si>
  <si>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</si>
  <si>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</si>
  <si>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</si>
  <si>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</si>
  <si>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</si>
  <si>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</si>
  <si>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</si>
  <si>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</si>
  <si>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</si>
  <si>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</si>
  <si>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</si>
  <si>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</si>
  <si>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</si>
  <si>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</si>
  <si>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</si>
  <si>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</si>
  <si>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</si>
  <si>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</si>
  <si>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</si>
  <si>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</si>
  <si>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</si>
  <si>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</si>
  <si>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</si>
  <si>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</si>
  <si>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</si>
  <si>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</si>
  <si>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</si>
  <si>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</si>
  <si>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</si>
  <si>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</si>
  <si>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</si>
  <si>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</si>
  <si>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</si>
  <si>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</si>
  <si>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</si>
  <si>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</si>
  <si>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</si>
  <si>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</si>
  <si>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</si>
  <si>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</si>
  <si>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</si>
  <si>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</si>
  <si>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</si>
  <si>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</si>
  <si>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</si>
  <si>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</si>
  <si>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</si>
  <si>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</si>
  <si>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</si>
  <si>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</si>
  <si>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</si>
  <si>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</si>
  <si>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</si>
  <si>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</si>
  <si>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</si>
  <si>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</si>
  <si>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</si>
  <si>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</si>
  <si>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</si>
  <si>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</si>
  <si>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</si>
  <si>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</si>
  <si>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</si>
  <si>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</si>
  <si>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</si>
  <si>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</si>
  <si>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</si>
  <si>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</si>
  <si>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</si>
  <si>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</si>
  <si>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</si>
  <si>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</si>
  <si>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</si>
  <si>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</si>
  <si>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</si>
  <si>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</si>
  <si>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</si>
  <si>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</si>
  <si>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</si>
  <si>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</si>
  <si>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</si>
  <si>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</si>
  <si>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</si>
  <si>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</si>
  <si>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</si>
  <si>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</si>
  <si>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</si>
  <si>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</si>
  <si>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</si>
  <si>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</si>
  <si>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</si>
  <si>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</si>
  <si>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</si>
  <si>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</si>
  <si>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</si>
  <si>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</si>
  <si>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</si>
  <si>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</si>
  <si>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</si>
  <si>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</si>
  <si>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</si>
  <si>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</si>
  <si>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</si>
  <si>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</si>
  <si>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</si>
  <si>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</si>
  <si>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</si>
  <si>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</si>
  <si>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</si>
  <si>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</si>
  <si>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</si>
  <si>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</si>
  <si>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</si>
  <si>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</si>
  <si>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</si>
  <si>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</si>
  <si>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</si>
  <si>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</si>
  <si>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</si>
  <si>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</si>
  <si>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</si>
  <si>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</si>
  <si>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</si>
  <si>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</si>
  <si>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</si>
  <si>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</si>
  <si>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</si>
  <si>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</si>
  <si>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</si>
  <si>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</si>
  <si>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</si>
  <si>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</si>
  <si>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</si>
  <si>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</si>
  <si>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</si>
  <si>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</si>
  <si>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</si>
  <si>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</si>
  <si>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</si>
  <si>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</si>
  <si>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</si>
  <si>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</si>
  <si>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</si>
  <si>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</si>
  <si>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</si>
  <si>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</si>
  <si>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</si>
  <si>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</si>
  <si>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</si>
  <si>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</si>
  <si>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</si>
  <si>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</si>
  <si>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</si>
  <si>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</si>
  <si>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</si>
  <si>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</si>
  <si>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</si>
  <si>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</si>
  <si>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</si>
  <si>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</si>
  <si>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</si>
  <si>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</si>
  <si>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</si>
  <si>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</si>
  <si>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</si>
  <si>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</si>
  <si>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</si>
  <si>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</si>
  <si>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</si>
  <si>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</si>
  <si>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</si>
  <si>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</si>
  <si>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</si>
  <si>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</si>
  <si>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</si>
  <si>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</si>
  <si>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</si>
  <si>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</si>
  <si>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</si>
  <si>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</si>
  <si>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</si>
  <si>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</si>
  <si>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</si>
  <si>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</si>
  <si>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</si>
  <si>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</si>
  <si>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</si>
  <si>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</si>
  <si>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</si>
  <si>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</si>
  <si>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</si>
  <si>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</si>
  <si>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</si>
  <si>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</si>
  <si>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</si>
  <si>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</si>
  <si>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</si>
  <si>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</si>
  <si>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</si>
  <si>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</si>
  <si>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</si>
  <si>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</si>
  <si>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</si>
  <si>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</si>
  <si>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</si>
  <si>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</si>
  <si>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</si>
  <si>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</si>
  <si>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</si>
  <si>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</si>
  <si>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</si>
  <si>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</si>
  <si>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</si>
  <si>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</si>
  <si>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</si>
  <si>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</si>
  <si>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</si>
  <si>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</si>
  <si>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</si>
  <si>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</si>
  <si>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</si>
  <si>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</si>
  <si>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</si>
  <si>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</si>
  <si>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</si>
  <si>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</si>
  <si>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</si>
  <si>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</si>
  <si>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</si>
  <si>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</si>
  <si>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</si>
  <si>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</si>
  <si>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</si>
  <si>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</si>
  <si>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</si>
  <si>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</si>
  <si>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</si>
  <si>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</si>
  <si>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</si>
  <si>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</si>
  <si>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</si>
  <si>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</si>
  <si>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</si>
  <si>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</si>
  <si>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</si>
  <si>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</si>
  <si>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</si>
  <si>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</si>
  <si>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</si>
  <si>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</si>
  <si>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</si>
  <si>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</si>
  <si>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</si>
  <si>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</si>
  <si>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</si>
  <si>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</si>
  <si>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</si>
  <si>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</si>
  <si>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</si>
  <si>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</si>
  <si>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</si>
  <si>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</si>
  <si>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</si>
  <si>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</si>
  <si>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</si>
  <si>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</si>
  <si>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</si>
  <si>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</si>
  <si>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</si>
  <si>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</si>
  <si>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</si>
  <si>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</si>
  <si>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</si>
  <si>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</si>
  <si>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</si>
  <si>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</si>
  <si>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</si>
  <si>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</si>
  <si>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</si>
  <si>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</si>
  <si>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</si>
  <si>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</si>
  <si>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</si>
  <si>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</si>
  <si>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</si>
  <si>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</si>
  <si>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</si>
  <si>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</si>
  <si>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</si>
  <si>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</si>
  <si>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</si>
  <si>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</si>
  <si>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</si>
  <si>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</si>
  <si>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</si>
  <si>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</si>
  <si>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</si>
  <si>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</si>
  <si>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</si>
  <si>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</si>
  <si>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</si>
  <si>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</si>
  <si>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</si>
  <si>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</si>
  <si>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</si>
  <si>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</si>
  <si>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</si>
  <si>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</si>
  <si>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</si>
  <si>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</si>
  <si>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</si>
  <si>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</si>
  <si>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</si>
  <si>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</si>
  <si>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</si>
  <si>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</si>
  <si>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</si>
  <si>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</si>
  <si>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</si>
  <si>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</si>
  <si>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</si>
  <si>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</si>
  <si>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</si>
  <si>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</si>
  <si>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</si>
  <si>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</si>
  <si>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</si>
  <si>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</si>
  <si>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</si>
  <si>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</si>
  <si>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</si>
  <si>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</si>
  <si>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</si>
  <si>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</si>
  <si>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</si>
  <si>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</si>
  <si>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</si>
  <si>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</si>
  <si>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</si>
  <si>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</si>
  <si>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</si>
  <si>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</si>
  <si>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</si>
  <si>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</si>
  <si>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</si>
  <si>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</si>
  <si>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</si>
  <si>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</si>
  <si>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</si>
  <si>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</si>
  <si>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</si>
  <si>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</si>
  <si>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</si>
  <si>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</si>
  <si>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</si>
  <si>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</si>
  <si>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</si>
  <si>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</si>
  <si>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</si>
  <si>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</si>
  <si>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</si>
  <si>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</si>
  <si>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</si>
  <si>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</si>
  <si>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</si>
  <si>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</si>
  <si>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</si>
  <si>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</si>
  <si>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</si>
  <si>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</si>
  <si>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</si>
  <si>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</si>
  <si>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</si>
  <si>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</si>
  <si>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</si>
  <si>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</si>
  <si>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</si>
  <si>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</si>
  <si>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</si>
  <si>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</si>
  <si>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</si>
  <si>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</si>
  <si>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</si>
  <si>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</si>
  <si>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</si>
  <si>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</si>
  <si>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</si>
  <si>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</si>
  <si>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</si>
  <si>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</si>
  <si>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</si>
  <si>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</si>
  <si>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</si>
  <si>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</si>
  <si>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</si>
  <si>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</si>
  <si>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</si>
  <si>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</si>
  <si>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</si>
  <si>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</si>
  <si>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</si>
  <si>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</si>
  <si>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</si>
  <si>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</si>
  <si>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</si>
  <si>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</si>
  <si>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</si>
  <si>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</si>
  <si>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</si>
  <si>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</si>
  <si>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</si>
  <si>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</si>
  <si>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</si>
  <si>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</si>
  <si>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</si>
  <si>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</si>
  <si>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</si>
  <si>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</si>
  <si>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</si>
  <si>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</si>
  <si>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</si>
  <si>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</si>
  <si>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</si>
  <si>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</si>
  <si>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</si>
  <si>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</si>
  <si>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</si>
  <si>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</si>
  <si>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</si>
  <si>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</si>
  <si>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</si>
  <si>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</si>
  <si>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</si>
  <si>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</si>
  <si>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</si>
  <si>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</si>
  <si>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</si>
  <si>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</si>
  <si>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</si>
  <si>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</si>
  <si>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</si>
  <si>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</si>
  <si>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</si>
  <si>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</si>
  <si>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</si>
  <si>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</si>
  <si>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</si>
  <si>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</si>
  <si>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</si>
  <si>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</si>
  <si>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</si>
  <si>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</si>
  <si>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</si>
  <si>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</si>
  <si>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</si>
  <si>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</si>
  <si>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</si>
  <si>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</si>
  <si>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</si>
  <si>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</si>
  <si>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</si>
  <si>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</si>
  <si>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</si>
  <si>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</si>
  <si>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</si>
  <si>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</si>
  <si>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</si>
  <si>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</si>
  <si>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</si>
  <si>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</si>
  <si>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</si>
  <si>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</si>
  <si>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</si>
  <si>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</si>
  <si>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</si>
  <si>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</si>
  <si>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</si>
  <si>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</si>
  <si>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</si>
  <si>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</si>
  <si>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</si>
  <si>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</si>
  <si>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</si>
  <si>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</si>
  <si>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</si>
  <si>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</si>
  <si>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</si>
  <si>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</si>
  <si>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</si>
  <si>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</si>
  <si>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</si>
  <si>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</si>
  <si>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</si>
  <si>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</si>
  <si>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</si>
  <si>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</si>
  <si>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</si>
  <si>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</si>
  <si>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</si>
  <si>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</si>
  <si>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</si>
  <si>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</si>
  <si>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</si>
  <si>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</si>
  <si>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</si>
  <si>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</si>
  <si>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</si>
  <si>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</si>
  <si>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</si>
  <si>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</si>
  <si>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</si>
  <si>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</si>
  <si>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</si>
  <si>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</si>
  <si>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</si>
  <si>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</si>
  <si>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</si>
  <si>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</si>
  <si>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</si>
  <si>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</si>
  <si>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</si>
  <si>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</si>
  <si>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</si>
  <si>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</si>
  <si>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</si>
  <si>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</si>
  <si>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</si>
  <si>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</si>
  <si>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</si>
  <si>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</si>
  <si>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</si>
  <si>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</si>
  <si>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</si>
  <si>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</si>
  <si>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</si>
  <si>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</si>
  <si>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</si>
  <si>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</si>
  <si>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</si>
  <si>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</si>
  <si>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</si>
  <si>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</si>
  <si>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</si>
  <si>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</si>
  <si>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</si>
  <si>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</si>
  <si>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</si>
  <si>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</si>
  <si>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</si>
  <si>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</si>
  <si>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</si>
  <si>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</si>
  <si>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</si>
  <si>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</si>
  <si>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</si>
  <si>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</si>
  <si>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</si>
  <si>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</si>
  <si>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</si>
  <si>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</si>
  <si>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</si>
  <si>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</si>
  <si>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</si>
  <si>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</si>
  <si>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</si>
  <si>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</si>
  <si>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</si>
  <si>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</si>
  <si>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</si>
  <si>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</si>
  <si>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</si>
  <si>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</si>
  <si>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</si>
  <si>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</si>
  <si>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</si>
  <si>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</si>
  <si>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</si>
  <si>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</si>
  <si>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</si>
  <si>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</si>
  <si>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</si>
  <si>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</si>
  <si>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</si>
  <si>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</si>
  <si>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</si>
  <si>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</si>
  <si>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</si>
  <si>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</si>
  <si>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</si>
  <si>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</si>
  <si>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</si>
  <si>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</si>
  <si>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</si>
  <si>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</si>
  <si>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</si>
  <si>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</si>
  <si>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</si>
  <si>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</si>
  <si>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</si>
  <si>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</si>
  <si>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</si>
  <si>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</si>
  <si>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</si>
  <si>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</si>
  <si>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</si>
  <si>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</si>
  <si>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</si>
  <si>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</si>
  <si>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</si>
  <si>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</si>
  <si>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</si>
  <si>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</si>
  <si>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</si>
  <si>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</si>
  <si>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</si>
  <si>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</si>
  <si>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</si>
  <si>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</si>
  <si>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</si>
  <si>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</si>
  <si>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</si>
  <si>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</si>
  <si>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</si>
  <si>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</si>
  <si>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</si>
  <si>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</si>
  <si>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</si>
  <si>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</si>
  <si>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</si>
  <si>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</si>
  <si>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</si>
  <si>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</si>
  <si>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</si>
  <si>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</si>
  <si>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</si>
  <si>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</si>
  <si>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</si>
  <si>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</si>
  <si>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</si>
  <si>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</si>
  <si>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</si>
  <si>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</si>
  <si>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</si>
  <si>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</si>
  <si>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</si>
  <si>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</si>
  <si>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</si>
  <si>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</si>
  <si>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</si>
  <si>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</si>
  <si>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</si>
  <si>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</si>
  <si>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</si>
  <si>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</si>
  <si>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</si>
  <si>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</si>
  <si>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</si>
  <si>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</si>
  <si>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</si>
  <si>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</si>
  <si>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</si>
  <si>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</si>
  <si>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</si>
  <si>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</si>
  <si>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</si>
  <si>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</si>
  <si>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</si>
  <si>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</si>
  <si>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</si>
  <si>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</si>
  <si>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</si>
  <si>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</si>
  <si>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</si>
  <si>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</si>
  <si>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</si>
  <si>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</si>
  <si>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</si>
  <si>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</si>
  <si>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</si>
  <si>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</si>
  <si>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</si>
  <si>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</si>
  <si>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</si>
  <si>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</si>
  <si>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</si>
  <si>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</si>
  <si>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</si>
  <si>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</si>
  <si>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</si>
  <si>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</si>
  <si>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</si>
  <si>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</si>
  <si>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</si>
  <si>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</si>
  <si>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</si>
  <si>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</si>
  <si>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</si>
  <si>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</si>
  <si>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</si>
  <si>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</si>
  <si>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</si>
  <si>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</si>
  <si>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</si>
  <si>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</si>
  <si>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</si>
  <si>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</si>
  <si>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</si>
  <si>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</si>
  <si>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</si>
  <si>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</si>
  <si>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</si>
  <si>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</si>
  <si>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</si>
  <si>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</si>
  <si>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</si>
  <si>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</si>
  <si>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</si>
  <si>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</si>
  <si>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</si>
  <si>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</si>
  <si>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</si>
  <si>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</si>
  <si>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</si>
  <si>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</si>
  <si>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</si>
  <si>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</si>
  <si>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</si>
  <si>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</si>
  <si>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</si>
  <si>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</si>
  <si>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</si>
  <si>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</si>
  <si>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</si>
  <si>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</si>
  <si>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</si>
  <si>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</si>
  <si>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</si>
  <si>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</si>
  <si>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</si>
  <si>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</si>
  <si>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</si>
  <si>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</si>
  <si>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</si>
  <si>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</si>
  <si>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</si>
  <si>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</si>
  <si>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</si>
  <si>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</si>
  <si>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</si>
  <si>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</si>
  <si>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</si>
  <si>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</si>
  <si>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</si>
  <si>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</si>
  <si>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</si>
  <si>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</si>
  <si>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</si>
  <si>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</si>
  <si>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</si>
  <si>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</si>
  <si>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</si>
  <si>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</si>
  <si>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</si>
  <si>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</si>
  <si>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</si>
  <si>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</si>
  <si>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</si>
  <si>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</si>
  <si>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</si>
  <si>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</si>
  <si>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</si>
  <si>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</si>
  <si>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</si>
  <si>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</si>
  <si>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</si>
  <si>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</si>
  <si>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</si>
  <si>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</si>
  <si>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</si>
  <si>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</si>
  <si>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</si>
  <si>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</si>
  <si>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</si>
  <si>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</si>
  <si>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</si>
  <si>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</si>
  <si>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</si>
  <si>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</si>
  <si>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</si>
  <si>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</si>
  <si>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</si>
  <si>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</si>
  <si>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</si>
  <si>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</si>
  <si>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</si>
  <si>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</si>
  <si>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</si>
  <si>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</si>
  <si>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</si>
  <si>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</si>
  <si>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</si>
  <si>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</si>
  <si>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</si>
  <si>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</si>
  <si>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</si>
  <si>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</si>
  <si>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</si>
  <si>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</si>
  <si>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</si>
  <si>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</si>
  <si>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</si>
  <si>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</si>
  <si>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</si>
  <si>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</si>
  <si>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</si>
  <si>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</si>
  <si>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</si>
  <si>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</si>
  <si>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</si>
  <si>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</si>
  <si>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</si>
  <si>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</si>
  <si>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</si>
  <si>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</si>
  <si>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</si>
  <si>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</si>
  <si>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</si>
  <si>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</si>
  <si>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</si>
  <si>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</si>
  <si>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</si>
  <si>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</si>
  <si>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</si>
  <si>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</si>
  <si>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</si>
  <si>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</si>
  <si>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</si>
  <si>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</si>
  <si>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</si>
  <si>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</si>
  <si>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</si>
  <si>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</si>
  <si>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</si>
  <si>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</si>
  <si>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</si>
  <si>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</si>
  <si>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</si>
  <si>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</si>
  <si>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</si>
  <si>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</si>
  <si>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</si>
  <si>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</si>
  <si>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</si>
  <si>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</si>
  <si>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</si>
  <si>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</si>
  <si>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</si>
  <si>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</si>
  <si>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</si>
  <si>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</si>
  <si>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</si>
  <si>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</si>
  <si>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</si>
  <si>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</si>
  <si>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</si>
  <si>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</si>
  <si>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</si>
  <si>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</si>
  <si>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</si>
  <si>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</si>
  <si>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</si>
  <si>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</si>
  <si>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</si>
  <si>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</si>
  <si>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</si>
  <si>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</si>
  <si>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</si>
  <si>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</si>
  <si>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</si>
  <si>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</si>
  <si>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</si>
  <si>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</si>
  <si>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</si>
  <si>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</si>
  <si>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</si>
  <si>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</si>
  <si>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</si>
  <si>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</si>
  <si>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</si>
  <si>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</si>
  <si>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</si>
  <si>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</si>
  <si>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</si>
  <si>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</si>
  <si>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</si>
  <si>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</si>
  <si>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</si>
  <si>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</si>
  <si>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</si>
  <si>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</si>
  <si>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</si>
  <si>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</si>
  <si>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</si>
  <si>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</si>
  <si>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</si>
  <si>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</si>
  <si>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</si>
  <si>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</si>
  <si>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</si>
  <si>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</si>
  <si>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</si>
  <si>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</si>
  <si>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</si>
  <si>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</si>
  <si>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</si>
  <si>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</si>
  <si>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</si>
  <si>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</si>
  <si>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</si>
  <si>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</si>
  <si>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</si>
  <si>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</si>
  <si>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</si>
  <si>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</si>
  <si>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</si>
  <si>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</si>
  <si>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</si>
  <si>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</si>
  <si>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</si>
  <si>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</si>
  <si>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</si>
  <si>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</si>
  <si>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</si>
  <si>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</si>
  <si>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</si>
  <si>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</si>
  <si>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</si>
  <si>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</si>
  <si>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</si>
  <si>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</si>
  <si>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</si>
  <si>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</si>
  <si>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</si>
  <si>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</si>
  <si>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</si>
  <si>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</si>
  <si>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</si>
  <si>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</si>
  <si>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</si>
  <si>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</si>
  <si>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</si>
  <si>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</si>
  <si>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</si>
  <si>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</si>
  <si>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</si>
  <si>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</si>
  <si>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</si>
  <si>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</si>
  <si>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</si>
  <si>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</si>
  <si>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</si>
  <si>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</si>
  <si>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</si>
  <si>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</si>
  <si>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</si>
  <si>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</si>
  <si>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</si>
  <si>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</si>
  <si>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</si>
  <si>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</si>
  <si>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</si>
  <si>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</si>
  <si>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</si>
  <si>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</si>
  <si>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</si>
  <si>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</si>
  <si>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</si>
  <si>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</si>
  <si>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</si>
  <si>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</si>
  <si>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</si>
  <si>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</si>
  <si>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</si>
  <si>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</si>
  <si>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</si>
  <si>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</si>
  <si>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</si>
  <si>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</si>
  <si>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</si>
  <si>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</si>
  <si>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</si>
  <si>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</si>
  <si>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</si>
  <si>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</si>
  <si>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</si>
  <si>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</si>
  <si>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</si>
  <si>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</si>
  <si>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</si>
  <si>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</si>
  <si>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</si>
  <si>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</si>
  <si>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</si>
  <si>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</si>
  <si>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</si>
  <si>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</si>
  <si>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</si>
  <si>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</si>
  <si>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</si>
  <si>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</si>
  <si>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</si>
  <si>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</si>
  <si>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</si>
  <si>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</si>
  <si>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</si>
  <si>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</si>
  <si>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</si>
  <si>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</si>
  <si>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</si>
  <si>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</si>
  <si>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</si>
  <si>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</si>
  <si>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</si>
  <si>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</si>
  <si>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</si>
  <si>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</si>
  <si>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</si>
  <si>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</si>
  <si>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</si>
  <si>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</si>
  <si>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</si>
  <si>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</si>
  <si>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</si>
  <si>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</si>
  <si>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</si>
  <si>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</si>
  <si>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</si>
  <si>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</si>
  <si>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</si>
  <si>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</si>
  <si>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</si>
  <si>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</si>
  <si>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</si>
  <si>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</si>
  <si>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</si>
  <si>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</si>
  <si>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</si>
  <si>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</si>
  <si>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</si>
  <si>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</si>
  <si>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</si>
  <si>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</si>
  <si>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</si>
  <si>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</si>
  <si>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</si>
  <si>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</si>
  <si>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</si>
  <si>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</si>
  <si>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</si>
  <si>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</si>
  <si>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</si>
  <si>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</si>
  <si>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</si>
  <si>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</si>
  <si>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</si>
  <si>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</si>
  <si>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</si>
  <si>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</si>
  <si>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</si>
  <si>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</si>
  <si>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</si>
  <si>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</si>
  <si>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</si>
  <si>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</si>
  <si>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</si>
  <si>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</si>
  <si>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</si>
  <si>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</si>
  <si>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</si>
  <si>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</si>
  <si>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</si>
  <si>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</si>
  <si>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</si>
  <si>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</si>
  <si>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</si>
  <si>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</si>
  <si>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</si>
  <si>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</si>
  <si>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</si>
  <si>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</si>
  <si>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</si>
  <si>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</si>
  <si>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</si>
  <si>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</si>
  <si>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</si>
  <si>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</si>
  <si>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</si>
  <si>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</si>
  <si>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</si>
  <si>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</si>
  <si>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</si>
  <si>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</si>
  <si>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</si>
  <si>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</si>
  <si>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</si>
  <si>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</si>
  <si>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</si>
  <si>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</si>
  <si>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</si>
  <si>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</si>
  <si>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</si>
  <si>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</si>
  <si>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</si>
  <si>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</si>
  <si>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</si>
  <si>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</si>
  <si>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</si>
  <si>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</si>
  <si>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</si>
  <si>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</si>
  <si>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</si>
  <si>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</si>
  <si>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</si>
  <si>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</si>
  <si>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</si>
  <si>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</si>
  <si>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</si>
  <si>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</si>
  <si>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</si>
  <si>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</si>
  <si>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</si>
  <si>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</si>
  <si>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</si>
  <si>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</si>
  <si>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</si>
  <si>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</si>
  <si>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</si>
  <si>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</si>
  <si>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</si>
  <si>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</si>
  <si>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</si>
  <si>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</si>
  <si>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</si>
  <si>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</si>
  <si>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</si>
  <si>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</si>
  <si>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</si>
  <si>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</si>
  <si>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</si>
  <si>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</si>
  <si>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</si>
  <si>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</si>
  <si>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</si>
  <si>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</si>
  <si>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</si>
  <si>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</si>
  <si>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</si>
  <si>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</si>
  <si>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</si>
  <si>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</si>
  <si>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</si>
  <si>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</si>
  <si>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</si>
  <si>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</si>
  <si>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</si>
  <si>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</si>
  <si>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</si>
  <si>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</si>
  <si>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</si>
  <si>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</si>
  <si>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</si>
  <si>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</si>
  <si>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</si>
  <si>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</si>
  <si>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</si>
  <si>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</si>
  <si>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</si>
  <si>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</si>
  <si>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</si>
  <si>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</si>
  <si>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</si>
  <si>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</si>
  <si>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</si>
  <si>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</si>
  <si>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</si>
  <si>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</si>
  <si>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</si>
  <si>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</si>
  <si>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</si>
  <si>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</si>
  <si>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</si>
  <si>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</si>
  <si>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</si>
  <si>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</si>
  <si>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</si>
  <si>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</si>
  <si>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</si>
  <si>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</si>
  <si>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</si>
  <si>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</si>
  <si>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</si>
  <si>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</si>
  <si>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</si>
  <si>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</si>
  <si>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</si>
  <si>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</si>
  <si>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</si>
  <si>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</si>
  <si>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</si>
  <si>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</si>
  <si>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</si>
  <si>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</si>
  <si>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</si>
  <si>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</si>
  <si>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</si>
  <si>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</si>
  <si>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</si>
  <si>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</si>
  <si>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</si>
  <si>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</si>
  <si>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</si>
  <si>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</si>
  <si>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</si>
  <si>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</si>
  <si>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</si>
  <si>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</si>
  <si>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</si>
  <si>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</si>
  <si>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</si>
  <si>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</si>
  <si>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</si>
  <si>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</si>
  <si>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</si>
  <si>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</si>
  <si>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</si>
  <si>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</si>
  <si>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</si>
  <si>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</si>
  <si>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</si>
  <si>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</si>
  <si>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</si>
  <si>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</si>
  <si>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</si>
  <si>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</si>
  <si>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</si>
  <si>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</si>
  <si>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</si>
  <si>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</si>
  <si>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</si>
  <si>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</si>
  <si>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</si>
  <si>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</si>
  <si>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</si>
  <si>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</si>
  <si>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</si>
  <si>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</si>
  <si>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</si>
  <si>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</si>
  <si>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</si>
  <si>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</si>
  <si>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</si>
  <si>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</si>
  <si>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</si>
  <si>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</si>
  <si>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</si>
  <si>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</si>
  <si>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</si>
  <si>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</si>
  <si>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</si>
  <si>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</si>
  <si>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</si>
  <si>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</si>
  <si>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</si>
  <si>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</si>
  <si>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</si>
  <si>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</si>
  <si>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</si>
  <si>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</si>
  <si>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</si>
  <si>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</si>
  <si>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</si>
  <si>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</si>
  <si>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</si>
  <si>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</si>
  <si>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</si>
  <si>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</si>
  <si>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</si>
  <si>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</si>
  <si>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</si>
  <si>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</si>
  <si>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</si>
  <si>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</si>
  <si>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</si>
  <si>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</si>
  <si>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</si>
  <si>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</si>
  <si>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</si>
  <si>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</si>
  <si>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</si>
  <si>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</si>
  <si>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</si>
  <si>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</si>
  <si>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</si>
  <si>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</si>
  <si>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</si>
  <si>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</si>
  <si>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</si>
  <si>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</si>
  <si>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</si>
  <si>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</si>
  <si>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</si>
  <si>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</si>
  <si>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</si>
  <si>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</si>
  <si>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</si>
  <si>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</si>
  <si>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</si>
  <si>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</si>
  <si>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</si>
  <si>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</si>
  <si>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</si>
  <si>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</si>
  <si>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</si>
  <si>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</si>
  <si>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</si>
  <si>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</si>
  <si>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</si>
  <si>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</si>
  <si>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</si>
  <si>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</si>
  <si>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</si>
  <si>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</si>
  <si>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</si>
  <si>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</si>
  <si>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</si>
  <si>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</si>
  <si>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</si>
  <si>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</si>
  <si>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</si>
  <si>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</si>
  <si>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</si>
  <si>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</si>
  <si>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</si>
  <si>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</si>
  <si>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</si>
  <si>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</si>
  <si>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</si>
  <si>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</si>
  <si>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</si>
  <si>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</si>
  <si>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</si>
  <si>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</si>
  <si>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</si>
  <si>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</si>
  <si>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</si>
  <si>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</si>
  <si>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</si>
  <si>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</si>
  <si>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</si>
  <si>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</si>
  <si>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</si>
  <si>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</si>
  <si>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</si>
  <si>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</si>
  <si>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</si>
  <si>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</si>
  <si>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</si>
  <si>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</si>
  <si>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</si>
  <si>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</si>
  <si>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</si>
  <si>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</si>
  <si>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</si>
  <si>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</si>
  <si>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</si>
  <si>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</si>
  <si>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</si>
  <si>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</si>
  <si>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</si>
  <si>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</si>
  <si>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</si>
  <si>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</si>
  <si>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</si>
  <si>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</si>
  <si>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</si>
  <si>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</si>
  <si>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</si>
  <si>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</si>
  <si>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</si>
  <si>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</si>
  <si>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</si>
  <si>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</si>
  <si>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</si>
  <si>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</si>
  <si>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</si>
  <si>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</si>
  <si>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</si>
  <si>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</si>
  <si>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</si>
  <si>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</si>
  <si>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</si>
  <si>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</si>
  <si>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</si>
  <si>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</si>
  <si>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</si>
  <si>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</si>
  <si>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</si>
  <si>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</si>
  <si>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</si>
  <si>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</si>
  <si>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</si>
  <si>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</si>
  <si>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</si>
  <si>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</si>
  <si>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</si>
  <si>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</si>
  <si>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</si>
  <si>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</si>
  <si>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</si>
  <si>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</si>
  <si>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</si>
  <si>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</si>
  <si>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</si>
  <si>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</si>
  <si>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</si>
  <si>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</si>
  <si>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</si>
  <si>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</si>
  <si>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</si>
  <si>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</si>
  <si>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</si>
  <si>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</si>
  <si>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</si>
  <si>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</si>
  <si>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</si>
  <si>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</si>
  <si>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</si>
  <si>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</si>
  <si>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</si>
  <si>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</si>
  <si>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</si>
  <si>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</si>
  <si>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</si>
  <si>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</si>
  <si>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</si>
  <si>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</si>
  <si>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</si>
  <si>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</si>
  <si>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</si>
  <si>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</si>
  <si>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</si>
  <si>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</si>
  <si>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</si>
  <si>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</si>
  <si>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</si>
  <si>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</si>
  <si>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</si>
  <si>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</si>
  <si>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</si>
  <si>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</si>
  <si>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</si>
  <si>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</si>
  <si>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</si>
  <si>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</si>
  <si>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</si>
  <si>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</si>
  <si>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</si>
  <si>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</si>
  <si>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</si>
  <si>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</si>
  <si>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</si>
  <si>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</si>
  <si>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</si>
  <si>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</si>
  <si>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</si>
  <si>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</si>
  <si>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</si>
  <si>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</si>
  <si>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</si>
  <si>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</si>
  <si>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</si>
  <si>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</si>
  <si>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</si>
  <si>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</si>
  <si>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</si>
  <si>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</si>
  <si>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</si>
  <si>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</si>
  <si>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</si>
  <si>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</si>
  <si>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</si>
  <si>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</si>
  <si>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</si>
  <si>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</si>
  <si>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</si>
  <si>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</si>
  <si>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</si>
  <si>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</si>
  <si>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</si>
  <si>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</si>
  <si>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</si>
  <si>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</si>
  <si>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</si>
  <si>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</si>
  <si>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</si>
  <si>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</si>
  <si>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</si>
  <si>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</si>
  <si>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</si>
  <si>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</si>
  <si>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</si>
  <si>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</si>
  <si>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</si>
  <si>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</si>
  <si>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</si>
  <si>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</si>
  <si>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</si>
  <si>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</si>
  <si>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</si>
  <si>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</si>
  <si>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</si>
  <si>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</si>
  <si>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</si>
  <si>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</si>
  <si>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</si>
  <si>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</si>
  <si>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</si>
  <si>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</si>
  <si>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</si>
  <si>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</si>
  <si>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</si>
  <si>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</si>
  <si>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</si>
  <si>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</si>
  <si>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</si>
  <si>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</si>
  <si>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</si>
  <si>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</si>
  <si>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</si>
  <si>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</si>
  <si>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</si>
  <si>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</si>
  <si>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</si>
  <si>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</si>
  <si>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</si>
  <si>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</si>
  <si>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</si>
  <si>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</si>
  <si>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</si>
  <si>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</si>
  <si>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</si>
  <si>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</si>
  <si>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</si>
  <si>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</si>
  <si>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</si>
  <si>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</si>
  <si>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</si>
  <si>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</si>
  <si>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</si>
  <si>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</si>
  <si>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</si>
  <si>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</si>
  <si>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</si>
  <si>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</si>
  <si>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</si>
  <si>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</si>
  <si>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</si>
  <si>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</si>
  <si>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</si>
  <si>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</si>
  <si>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</si>
  <si>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</si>
  <si>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</si>
  <si>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</si>
  <si>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</si>
  <si>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</si>
  <si>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</si>
  <si>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</si>
  <si>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</si>
  <si>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</si>
  <si>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</si>
  <si>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</si>
  <si>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</si>
  <si>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</si>
  <si>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</si>
  <si>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</si>
  <si>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</si>
  <si>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</si>
  <si>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</si>
  <si>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</si>
  <si>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</si>
  <si>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</si>
  <si>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</si>
  <si>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</si>
  <si>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</si>
  <si>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</si>
  <si>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</si>
  <si>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</si>
  <si>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</si>
  <si>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</si>
  <si>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</si>
  <si>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</si>
  <si>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</si>
  <si>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</si>
  <si>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</si>
  <si>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</si>
  <si>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</si>
  <si>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</si>
  <si>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</si>
  <si>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</si>
  <si>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</si>
  <si>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</si>
  <si>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</si>
  <si>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</si>
  <si>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</si>
  <si>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</si>
  <si>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</si>
  <si>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</si>
  <si>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</si>
  <si>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</si>
  <si>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</si>
  <si>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</si>
  <si>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</si>
  <si>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</si>
  <si>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</si>
  <si>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</si>
  <si>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</si>
  <si>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</si>
  <si>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</si>
  <si>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</si>
  <si>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</si>
  <si>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</si>
  <si>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</si>
  <si>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</si>
  <si>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</si>
  <si>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</si>
  <si>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</si>
  <si>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</si>
  <si>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</si>
  <si>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</si>
  <si>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</si>
  <si>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</si>
  <si>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</si>
  <si>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</si>
  <si>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</si>
  <si>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</si>
  <si>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</si>
  <si>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</si>
  <si>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</si>
  <si>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</si>
  <si>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</si>
  <si>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</si>
  <si>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</si>
  <si>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</si>
  <si>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</si>
  <si>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</si>
  <si>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</si>
  <si>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</si>
  <si>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</si>
  <si>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</si>
  <si>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</si>
  <si>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</si>
  <si>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</si>
  <si>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</si>
  <si>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</si>
  <si>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</si>
  <si>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</si>
  <si>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</si>
  <si>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</si>
  <si>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</si>
  <si>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</si>
  <si>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</si>
  <si>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</si>
  <si>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</si>
  <si>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</si>
  <si>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</si>
  <si>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</si>
  <si>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</si>
  <si>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</si>
  <si>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</si>
  <si>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</si>
  <si>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</si>
  <si>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</si>
  <si>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</si>
  <si>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</si>
  <si>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</si>
  <si>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</si>
  <si>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</si>
  <si>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</si>
  <si>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</si>
  <si>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</si>
  <si>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</si>
  <si>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</si>
  <si>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</si>
  <si>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</si>
  <si>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</si>
  <si>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</si>
  <si>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</si>
  <si>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</si>
  <si>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</si>
  <si>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</si>
  <si>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</si>
  <si>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</si>
  <si>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</si>
  <si>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</si>
  <si>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</si>
  <si>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</si>
  <si>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</si>
  <si>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</si>
  <si>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</si>
  <si>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</si>
  <si>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</si>
  <si>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</si>
  <si>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</si>
  <si>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</si>
  <si>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</si>
  <si>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</si>
  <si>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</si>
  <si>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</si>
  <si>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</si>
  <si>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</si>
  <si>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</si>
  <si>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</si>
  <si>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</si>
  <si>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</si>
  <si>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</si>
  <si>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</si>
  <si>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</si>
  <si>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</si>
  <si>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</si>
  <si>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</si>
  <si>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</si>
  <si>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</si>
  <si>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</si>
  <si>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</si>
  <si>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</si>
  <si>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</si>
  <si>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</si>
  <si>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</si>
  <si>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</si>
  <si>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</si>
  <si>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</si>
  <si>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</si>
  <si>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</si>
  <si>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</si>
  <si>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</si>
  <si>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</si>
  <si>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</si>
  <si>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</si>
  <si>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</si>
  <si>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</si>
  <si>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</si>
  <si>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</si>
  <si>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</si>
  <si>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</si>
  <si>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</si>
  <si>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</si>
  <si>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</si>
  <si>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</si>
  <si>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</si>
  <si>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</si>
  <si>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</si>
  <si>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</si>
  <si>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</si>
  <si>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</si>
  <si>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</si>
  <si>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</si>
  <si>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</si>
  <si>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</si>
  <si>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</si>
  <si>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</si>
  <si>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</si>
  <si>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</si>
  <si>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</si>
  <si>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</si>
  <si>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</si>
  <si>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</si>
  <si>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</si>
  <si>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</si>
  <si>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</si>
  <si>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</si>
  <si>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</si>
  <si>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</si>
  <si>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</si>
  <si>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</si>
  <si>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</si>
  <si>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</si>
  <si>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</si>
  <si>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</si>
  <si>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</si>
  <si>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</si>
  <si>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</si>
  <si>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</si>
  <si>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</si>
  <si>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</si>
  <si>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</si>
  <si>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</si>
  <si>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</si>
  <si>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</si>
  <si>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</si>
  <si>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</si>
  <si>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</si>
  <si>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</si>
  <si>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</si>
  <si>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</si>
  <si>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</si>
  <si>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</si>
  <si>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</si>
  <si>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</si>
  <si>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</si>
  <si>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</si>
  <si>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</si>
  <si>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</si>
  <si>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</si>
  <si>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</si>
  <si>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</si>
  <si>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</si>
  <si>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</si>
  <si>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</si>
  <si>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</si>
  <si>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</si>
  <si>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</si>
  <si>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</si>
  <si>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</si>
  <si>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</si>
  <si>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</si>
  <si>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</si>
  <si>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</si>
  <si>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</si>
  <si>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</si>
  <si>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</si>
  <si>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</si>
  <si>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</si>
  <si>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</si>
  <si>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</si>
  <si>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</si>
  <si>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</si>
  <si>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</si>
  <si>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</si>
  <si>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</si>
  <si>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</si>
  <si>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</si>
  <si>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</si>
  <si>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</si>
  <si>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</si>
  <si>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</si>
  <si>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</si>
  <si>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</si>
  <si>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</si>
  <si>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</si>
  <si>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</si>
  <si>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</si>
  <si>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</si>
  <si>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</si>
  <si>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</si>
  <si>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</si>
  <si>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</si>
  <si>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</si>
  <si>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</si>
  <si>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</si>
  <si>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</si>
  <si>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</si>
  <si>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</si>
  <si>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</si>
  <si>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</si>
  <si>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</si>
  <si>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</si>
  <si>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</si>
  <si>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</si>
  <si>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</si>
  <si>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</si>
  <si>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</si>
  <si>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</si>
  <si>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</si>
  <si>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</si>
  <si>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</si>
  <si>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</si>
  <si>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</si>
  <si>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</si>
  <si>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</si>
  <si>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</si>
  <si>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</si>
  <si>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</si>
  <si>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</si>
  <si>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</si>
  <si>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</si>
  <si>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</si>
  <si>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</si>
  <si>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</si>
  <si>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</si>
  <si>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</si>
  <si>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</si>
  <si>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</si>
  <si>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</si>
  <si>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</si>
  <si>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</si>
  <si>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</si>
  <si>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</si>
  <si>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</si>
  <si>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</si>
  <si>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</si>
  <si>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</si>
  <si>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</si>
  <si>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</si>
  <si>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</si>
  <si>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</si>
  <si>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</si>
  <si>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</si>
  <si>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</si>
  <si>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</si>
  <si>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</si>
  <si>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</si>
  <si>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</si>
  <si>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</si>
  <si>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</si>
  <si>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</si>
  <si>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</si>
  <si>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</si>
  <si>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</si>
  <si>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</si>
  <si>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</si>
  <si>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</si>
  <si>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</si>
  <si>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</si>
  <si>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</si>
  <si>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</si>
  <si>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</si>
  <si>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</si>
  <si>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</si>
  <si>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</si>
  <si>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</si>
  <si>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</si>
  <si>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</si>
  <si>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</si>
  <si>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</si>
  <si>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</si>
  <si>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</si>
  <si>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</si>
  <si>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</si>
  <si>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</si>
  <si>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</si>
  <si>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</si>
  <si>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</si>
  <si>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</si>
  <si>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</si>
  <si>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</si>
  <si>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</si>
  <si>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</si>
  <si>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</si>
  <si>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</si>
  <si>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</si>
  <si>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</si>
  <si>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</si>
  <si>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</si>
  <si>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</si>
  <si>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</si>
  <si>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</si>
  <si>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</si>
  <si>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</si>
  <si>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</si>
  <si>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</si>
  <si>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</si>
  <si>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</si>
  <si>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</si>
  <si>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</si>
  <si>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</si>
  <si>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</si>
  <si>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</si>
  <si>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</si>
  <si>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</si>
  <si>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</si>
  <si>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</si>
  <si>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</si>
  <si>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</si>
  <si>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</si>
  <si>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</si>
  <si>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</si>
  <si>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</si>
  <si>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</si>
  <si>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</si>
  <si>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</si>
  <si>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</si>
  <si>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</si>
  <si>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</si>
  <si>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</si>
  <si>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</si>
  <si>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</si>
  <si>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</si>
  <si>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</si>
  <si>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</si>
  <si>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</si>
  <si>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</si>
  <si>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</si>
  <si>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</si>
  <si>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</si>
  <si>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</si>
  <si>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</si>
  <si>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</si>
  <si>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</si>
  <si>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</si>
  <si>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</si>
  <si>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</si>
  <si>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</si>
  <si>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</si>
  <si>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</si>
  <si>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</si>
  <si>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</si>
  <si>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</si>
  <si>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</si>
  <si>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</si>
  <si>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</si>
  <si>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</si>
  <si>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</si>
  <si>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</si>
  <si>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</si>
  <si>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</si>
  <si>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</si>
  <si>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</si>
  <si>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</si>
  <si>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</si>
  <si>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</si>
  <si>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</si>
  <si>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</si>
  <si>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</si>
  <si>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</si>
  <si>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</si>
  <si>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</si>
  <si>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</si>
  <si>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</si>
  <si>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</si>
  <si>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</si>
  <si>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</si>
  <si>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</si>
  <si>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</si>
  <si>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</si>
  <si>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</si>
  <si>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</si>
  <si>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</si>
  <si>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</si>
  <si>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</si>
  <si>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</si>
  <si>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</si>
  <si>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</si>
  <si>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</si>
  <si>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</si>
  <si>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</si>
  <si>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</si>
  <si>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</si>
  <si>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</si>
  <si>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</si>
  <si>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</si>
  <si>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</si>
  <si>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</si>
  <si>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</si>
  <si>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</si>
  <si>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</si>
  <si>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</si>
  <si>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</si>
  <si>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</si>
  <si>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</si>
  <si>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</si>
  <si>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</si>
  <si>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</si>
  <si>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</si>
  <si>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</si>
  <si>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</si>
  <si>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</si>
  <si>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</si>
  <si>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</si>
  <si>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</si>
  <si>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</si>
  <si>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</si>
  <si>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</si>
  <si>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</si>
  <si>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</si>
  <si>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</si>
  <si>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</si>
  <si>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</si>
  <si>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</si>
  <si>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</si>
  <si>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</si>
  <si>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</si>
  <si>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</si>
  <si>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</si>
  <si>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</si>
  <si>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</si>
  <si>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</si>
  <si>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</si>
  <si>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</si>
  <si>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</si>
  <si>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</si>
  <si>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</si>
  <si>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</si>
  <si>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</si>
  <si>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</si>
  <si>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</si>
  <si>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</si>
  <si>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</si>
  <si>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</si>
  <si>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</si>
  <si>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</si>
  <si>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</si>
  <si>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</si>
  <si>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</si>
  <si>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</si>
  <si>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</si>
  <si>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</si>
  <si>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</si>
  <si>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</si>
  <si>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</si>
  <si>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</si>
  <si>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</si>
  <si>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</si>
  <si>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</si>
  <si>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</si>
  <si>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</si>
  <si>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</si>
  <si>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</si>
  <si>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</si>
  <si>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</si>
  <si>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</si>
  <si>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</si>
  <si>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</si>
  <si>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</si>
  <si>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</si>
  <si>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</si>
  <si>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</si>
  <si>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</si>
  <si>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</si>
  <si>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</si>
  <si>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</si>
  <si>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</si>
  <si>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</si>
  <si>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</si>
  <si>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</si>
  <si>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</si>
  <si>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</si>
  <si>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</si>
  <si>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</si>
  <si>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</si>
  <si>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</si>
  <si>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</si>
  <si>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</si>
  <si>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</si>
  <si>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</si>
  <si>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</si>
  <si>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</si>
  <si>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</si>
  <si>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</si>
  <si>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</si>
  <si>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</si>
  <si>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</si>
  <si>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</si>
  <si>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</si>
  <si>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</si>
  <si>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</si>
  <si>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</si>
  <si>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</si>
  <si>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</si>
  <si>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</si>
  <si>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</si>
  <si>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</si>
  <si>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</si>
  <si>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</si>
  <si>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</si>
  <si>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</si>
  <si>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</si>
  <si>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</si>
  <si>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</si>
  <si>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</si>
  <si>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</si>
  <si>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</si>
  <si>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</si>
  <si>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</si>
  <si>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</si>
  <si>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</si>
  <si>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</si>
  <si>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</si>
  <si>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</si>
  <si>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</si>
  <si>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</si>
  <si>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</si>
  <si>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</si>
  <si>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</si>
  <si>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</si>
  <si>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</si>
  <si>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</si>
  <si>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</si>
  <si>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</si>
  <si>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</si>
  <si>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</si>
  <si>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</si>
  <si>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</si>
  <si>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</si>
  <si>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</si>
  <si>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</si>
  <si>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</si>
  <si>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</si>
  <si>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</si>
  <si>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</si>
  <si>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</si>
  <si>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</si>
  <si>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</si>
  <si>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</si>
  <si>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</si>
  <si>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</si>
  <si>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</si>
  <si>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</si>
  <si>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</si>
  <si>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</si>
  <si>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</si>
  <si>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</si>
  <si>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</si>
  <si>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</si>
  <si>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</si>
  <si>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</si>
  <si>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</si>
  <si>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</si>
  <si>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</si>
  <si>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</si>
  <si>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</si>
  <si>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</si>
  <si>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</si>
  <si>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</si>
  <si>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</si>
  <si>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</si>
  <si>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</si>
  <si>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</si>
  <si>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</si>
  <si>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</si>
  <si>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</si>
  <si>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</si>
  <si>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</si>
  <si>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</si>
  <si>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</si>
  <si>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</si>
  <si>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</si>
  <si>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</si>
  <si>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</si>
  <si>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</si>
  <si>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</si>
  <si>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</si>
  <si>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</si>
  <si>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</si>
  <si>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</si>
  <si>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</si>
  <si>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</si>
  <si>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</si>
  <si>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</si>
  <si>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</si>
  <si>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</si>
  <si>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</si>
  <si>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</si>
  <si>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</si>
  <si>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</si>
  <si>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</si>
  <si>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</si>
  <si>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</si>
  <si>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</si>
  <si>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</si>
  <si>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</si>
  <si>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</si>
  <si>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</si>
  <si>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</si>
  <si>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</si>
  <si>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</si>
  <si>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</si>
  <si>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</si>
  <si>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</si>
  <si>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</si>
  <si>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</si>
  <si>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</si>
  <si>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</si>
  <si>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</si>
  <si>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</si>
  <si>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</si>
  <si>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</si>
  <si>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</si>
  <si>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</si>
  <si>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</si>
  <si>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</si>
  <si>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</si>
  <si>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</si>
  <si>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</si>
  <si>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</si>
  <si>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</si>
  <si>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</si>
  <si>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</si>
  <si>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</si>
  <si>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</si>
  <si>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</si>
  <si>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</si>
  <si>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</si>
  <si>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</si>
  <si>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</si>
  <si>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</si>
  <si>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</si>
  <si>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</si>
  <si>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</si>
  <si>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</si>
  <si>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</si>
  <si>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</si>
  <si>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</si>
  <si>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</si>
  <si>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</si>
  <si>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</si>
  <si>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</si>
  <si>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</si>
  <si>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</si>
  <si>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</si>
  <si>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</si>
  <si>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</si>
  <si>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</si>
  <si>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</si>
  <si>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</si>
  <si>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</si>
  <si>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</si>
  <si>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</si>
  <si>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</si>
  <si>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</si>
  <si>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</si>
  <si>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</si>
  <si>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</si>
  <si>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</si>
  <si>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</si>
  <si>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</si>
  <si>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</si>
  <si>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</si>
  <si>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</si>
  <si>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</si>
  <si>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</si>
  <si>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</si>
  <si>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</si>
  <si>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</si>
  <si>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</si>
  <si>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</si>
  <si>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</si>
  <si>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</si>
  <si>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</si>
  <si>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</si>
  <si>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</si>
  <si>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</si>
  <si>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</si>
  <si>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</si>
  <si>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</si>
  <si>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</si>
  <si>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</si>
  <si>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</si>
  <si>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</si>
  <si>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</si>
  <si>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</si>
  <si>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</si>
  <si>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</si>
  <si>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</si>
  <si>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</si>
  <si>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</si>
  <si>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</si>
  <si>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</si>
  <si>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</si>
  <si>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</si>
  <si>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</si>
  <si>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</si>
  <si>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</si>
  <si>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</si>
  <si>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</si>
  <si>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</si>
  <si>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</si>
  <si>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</si>
  <si>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</si>
  <si>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</si>
  <si>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</si>
  <si>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</si>
  <si>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</si>
  <si>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</si>
  <si>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</si>
  <si>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</si>
  <si>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</si>
  <si>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</si>
  <si>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</si>
  <si>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</si>
  <si>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</si>
  <si>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</si>
  <si>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</si>
  <si>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</si>
  <si>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</si>
  <si>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</si>
  <si>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</si>
  <si>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</si>
  <si>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</si>
  <si>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</si>
  <si>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</si>
  <si>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</si>
  <si>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</si>
  <si>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</si>
  <si>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</si>
  <si>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</si>
  <si>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</si>
  <si>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</si>
  <si>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</si>
  <si>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</si>
  <si>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</si>
  <si>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</si>
  <si>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</si>
  <si>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</si>
  <si>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</si>
  <si>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</si>
  <si>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</si>
  <si>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</si>
  <si>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</si>
  <si>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</si>
  <si>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</si>
  <si>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</si>
  <si>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</si>
  <si>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</si>
  <si>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</si>
  <si>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</si>
  <si>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</si>
  <si>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</si>
  <si>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</si>
  <si>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</si>
  <si>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</si>
  <si>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</si>
  <si>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</si>
  <si>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</si>
  <si>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</si>
  <si>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</si>
  <si>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</si>
  <si>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</si>
  <si>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</si>
  <si>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</si>
  <si>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</si>
  <si>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</si>
  <si>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</si>
  <si>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</si>
  <si>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</si>
  <si>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</si>
  <si>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</si>
  <si>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</si>
  <si>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</si>
  <si>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</si>
  <si>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</si>
  <si>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</si>
  <si>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</si>
  <si>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</si>
  <si>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</si>
  <si>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</si>
  <si>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</si>
  <si>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</si>
  <si>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</si>
  <si>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</si>
  <si>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</si>
  <si>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</si>
  <si>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</si>
  <si>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</si>
  <si>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</si>
  <si>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</si>
  <si>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</si>
  <si>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</si>
  <si>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</si>
  <si>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</si>
  <si>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</si>
  <si>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</si>
  <si>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</si>
  <si>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</si>
  <si>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</si>
  <si>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</si>
  <si>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</si>
  <si>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</si>
  <si>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</si>
  <si>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</si>
  <si>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</si>
  <si>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</si>
  <si>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</si>
  <si>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</si>
  <si>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</si>
  <si>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</si>
  <si>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</si>
  <si>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</si>
  <si>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</si>
  <si>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</si>
  <si>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</si>
  <si>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</si>
  <si>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</si>
  <si>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</si>
  <si>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</si>
  <si>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</si>
  <si>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</si>
  <si>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</si>
  <si>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</si>
  <si>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</si>
  <si>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</si>
  <si>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</si>
  <si>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</si>
  <si>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</si>
  <si>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</si>
  <si>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</si>
  <si>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</si>
  <si>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</si>
  <si>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</si>
  <si>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</si>
  <si>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</si>
  <si>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</si>
  <si>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</si>
  <si>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</si>
  <si>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</si>
  <si>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</si>
  <si>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</si>
  <si>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</si>
  <si>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</si>
  <si>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</si>
  <si>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</si>
  <si>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</si>
  <si>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</si>
  <si>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</si>
  <si>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</si>
  <si>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</si>
  <si>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</si>
  <si>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</si>
  <si>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</si>
  <si>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</si>
  <si>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</si>
  <si>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</si>
  <si>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</si>
  <si>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</si>
  <si>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</si>
  <si>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</si>
  <si>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</si>
  <si>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</si>
  <si>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</si>
  <si>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</si>
  <si>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</si>
  <si>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</si>
  <si>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</si>
  <si>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</si>
  <si>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</si>
  <si>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</si>
  <si>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</si>
  <si>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</si>
  <si>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</si>
  <si>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</si>
  <si>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</si>
  <si>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</si>
  <si>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</si>
  <si>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</si>
  <si>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</si>
  <si>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</si>
  <si>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</si>
  <si>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</si>
  <si>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</si>
  <si>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</si>
  <si>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</si>
  <si>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</si>
  <si>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</si>
  <si>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</si>
  <si>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</si>
  <si>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</si>
  <si>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</si>
  <si>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</si>
  <si>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</si>
  <si>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</si>
  <si>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</si>
  <si>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</si>
  <si>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</si>
  <si>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</si>
  <si>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</si>
  <si>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</si>
  <si>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</si>
  <si>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</si>
  <si>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</si>
  <si>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</si>
  <si>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</si>
  <si>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</si>
  <si>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</si>
  <si>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</si>
  <si>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</si>
  <si>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</si>
  <si>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</si>
  <si>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</si>
  <si>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</si>
  <si>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</si>
  <si>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</si>
  <si>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</si>
  <si>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</si>
  <si>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</si>
  <si>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</si>
  <si>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</si>
  <si>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</si>
  <si>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</si>
  <si>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</si>
  <si>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</si>
  <si>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</si>
  <si>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</si>
  <si>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</si>
  <si>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</si>
  <si>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</si>
  <si>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</si>
  <si>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</si>
  <si>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</si>
  <si>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</si>
  <si>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</si>
  <si>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</si>
  <si>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</si>
  <si>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</si>
  <si>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</si>
  <si>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</si>
  <si>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</si>
  <si>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</si>
  <si>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</si>
  <si>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</si>
  <si>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</si>
  <si>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</si>
  <si>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</si>
  <si>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</si>
  <si>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</si>
  <si>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</si>
  <si>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</si>
  <si>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</si>
  <si>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</si>
  <si>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</si>
  <si>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</si>
  <si>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</si>
  <si>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</si>
  <si>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</si>
  <si>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</si>
  <si>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</si>
  <si>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</si>
  <si>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</si>
  <si>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</si>
  <si>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</si>
  <si>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</si>
  <si>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</si>
  <si>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</si>
  <si>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</si>
  <si>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</si>
  <si>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</si>
  <si>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</si>
  <si>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</si>
  <si>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</si>
  <si>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</si>
  <si>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</si>
  <si>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</si>
  <si>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</si>
  <si>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</si>
  <si>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</si>
  <si>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</si>
  <si>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</si>
  <si>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</si>
  <si>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</si>
  <si>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</si>
  <si>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</si>
  <si>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</si>
  <si>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</si>
  <si>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</si>
  <si>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</si>
  <si>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</si>
  <si>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</si>
  <si>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</si>
  <si>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</si>
  <si>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</si>
  <si>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</si>
  <si>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</si>
  <si>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</si>
  <si>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</si>
  <si>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</si>
  <si>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</si>
  <si>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</si>
  <si>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</si>
  <si>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</si>
  <si>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</si>
  <si>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</si>
  <si>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</si>
  <si>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</si>
  <si>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</si>
  <si>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</si>
  <si>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</si>
  <si>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</si>
  <si>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</si>
  <si>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</si>
  <si>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</si>
  <si>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</si>
  <si>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</si>
  <si>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</si>
  <si>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</si>
  <si>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</si>
  <si>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</si>
  <si>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</si>
  <si>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</si>
  <si>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</si>
  <si>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</si>
  <si>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</si>
  <si>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</si>
  <si>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</si>
  <si>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</si>
  <si>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</si>
  <si>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</si>
  <si>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</si>
  <si>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</si>
  <si>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</si>
  <si>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</si>
  <si>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</si>
  <si>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</si>
  <si>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</si>
  <si>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</si>
  <si>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</si>
  <si>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</si>
  <si>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</si>
  <si>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</si>
  <si>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</si>
  <si>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</si>
  <si>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</si>
  <si>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</si>
  <si>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</si>
  <si>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</si>
  <si>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</si>
  <si>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</si>
  <si>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</si>
  <si>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</si>
  <si>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</si>
  <si>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</si>
  <si>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</si>
  <si>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</si>
  <si>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</si>
  <si>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</si>
  <si>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</si>
  <si>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</si>
  <si>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</si>
  <si>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</si>
  <si>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</si>
  <si>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</si>
  <si>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</si>
  <si>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</si>
  <si>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</si>
  <si>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</si>
  <si>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</si>
  <si>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</si>
  <si>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</si>
  <si>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</si>
  <si>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</si>
  <si>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</si>
  <si>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</si>
  <si>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</si>
  <si>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</si>
  <si>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</si>
  <si>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</si>
  <si>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</si>
  <si>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</si>
  <si>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</si>
  <si>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</si>
  <si>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</si>
  <si>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</si>
  <si>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</si>
  <si>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</si>
  <si>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</si>
  <si>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</si>
  <si>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</si>
  <si>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</si>
  <si>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</si>
  <si>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</si>
  <si>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</si>
  <si>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</si>
  <si>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</si>
  <si>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</si>
  <si>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</si>
  <si>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</si>
  <si>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</si>
  <si>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</si>
  <si>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</si>
  <si>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</si>
  <si>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</si>
  <si>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</si>
  <si>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</si>
  <si>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</si>
  <si>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</si>
  <si>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</si>
  <si>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</si>
  <si>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</si>
  <si>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</si>
  <si>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</si>
  <si>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</si>
  <si>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</si>
  <si>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</si>
  <si>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</si>
  <si>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</si>
  <si>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</si>
  <si>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</si>
  <si>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</si>
  <si>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</si>
  <si>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</si>
  <si>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</si>
  <si>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</si>
  <si>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</si>
  <si>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</si>
  <si>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</si>
  <si>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</si>
  <si>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</si>
  <si>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</si>
  <si>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</si>
  <si>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</si>
  <si>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</si>
  <si>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</si>
  <si>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</si>
  <si>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</si>
  <si>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</si>
  <si>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</si>
  <si>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</si>
  <si>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</si>
  <si>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</si>
  <si>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</si>
  <si>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</si>
  <si>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</si>
  <si>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</si>
  <si>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</si>
  <si>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</si>
  <si>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</si>
  <si>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</si>
  <si>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</si>
  <si>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</si>
  <si>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</si>
  <si>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</si>
  <si>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</si>
  <si>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</si>
  <si>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</si>
  <si>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</si>
  <si>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</si>
  <si>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</si>
  <si>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</si>
  <si>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</si>
  <si>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</si>
  <si>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</si>
  <si>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</si>
  <si>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</si>
  <si>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</si>
  <si>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</si>
  <si>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</si>
  <si>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</si>
  <si>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</si>
  <si>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</si>
  <si>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</si>
  <si>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</si>
  <si>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</si>
  <si>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</si>
  <si>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</si>
  <si>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</si>
  <si>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</si>
  <si>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</si>
  <si>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</si>
  <si>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</si>
  <si>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</si>
  <si>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</si>
  <si>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</si>
  <si>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</si>
  <si>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</si>
  <si>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</si>
  <si>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</si>
  <si>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</si>
  <si>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</si>
  <si>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</si>
  <si>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</si>
  <si>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</si>
  <si>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</si>
  <si>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</si>
  <si>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</si>
  <si>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</si>
  <si>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</si>
  <si>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</si>
  <si>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</si>
  <si>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</si>
  <si>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</si>
  <si>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</si>
  <si>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</si>
  <si>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</si>
  <si>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</si>
  <si>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</si>
  <si>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</si>
  <si>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</si>
  <si>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</si>
  <si>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</si>
  <si>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</si>
  <si>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</si>
  <si>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</si>
  <si>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</si>
  <si>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</si>
  <si>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</si>
  <si>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</si>
  <si>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</si>
  <si>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</si>
  <si>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</si>
  <si>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</si>
  <si>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</si>
  <si>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</si>
  <si>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</si>
  <si>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</si>
  <si>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</si>
  <si>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</si>
  <si>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</si>
  <si>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</si>
  <si>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</si>
  <si>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</si>
  <si>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</si>
  <si>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</si>
  <si>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</si>
  <si>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</si>
  <si>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</si>
  <si>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</si>
  <si>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</si>
  <si>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</si>
  <si>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</si>
  <si>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</si>
  <si>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</si>
  <si>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</si>
  <si>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</si>
  <si>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</si>
  <si>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</si>
  <si>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</si>
  <si>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</si>
  <si>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</si>
  <si>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</si>
  <si>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</si>
  <si>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</si>
  <si>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</si>
  <si>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</si>
  <si>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</si>
  <si>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</si>
  <si>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</si>
  <si>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</si>
  <si>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</si>
  <si>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</si>
  <si>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</si>
  <si>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</si>
  <si>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</si>
  <si>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</si>
  <si>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</si>
  <si>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</si>
  <si>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</si>
  <si>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</si>
  <si>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</si>
  <si>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</si>
  <si>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</si>
  <si>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</si>
  <si>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</si>
  <si>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</si>
  <si>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</si>
  <si>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</si>
  <si>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</si>
  <si>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</si>
  <si>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</si>
  <si>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</si>
  <si>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</si>
  <si>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</si>
  <si>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</si>
  <si>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</si>
  <si>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</si>
  <si>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</si>
  <si>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</si>
  <si>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</si>
  <si>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</si>
  <si>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</si>
  <si>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</si>
  <si>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</si>
  <si>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</si>
  <si>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</si>
  <si>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</si>
  <si>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</si>
  <si>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</si>
  <si>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</si>
  <si>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</si>
  <si>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</si>
  <si>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</si>
  <si>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</si>
  <si>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</si>
  <si>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</si>
  <si>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</si>
  <si>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</si>
  <si>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</si>
  <si>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</si>
  <si>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</si>
  <si>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</si>
  <si>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</si>
  <si>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</si>
  <si>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</si>
  <si>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</si>
  <si>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</si>
  <si>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</si>
  <si>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</si>
  <si>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</si>
  <si>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</si>
  <si>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</si>
  <si>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</si>
  <si>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</si>
  <si>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</si>
  <si>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</si>
  <si>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</si>
  <si>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</si>
  <si>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</si>
  <si>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</si>
  <si>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</si>
  <si>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</si>
  <si>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</si>
  <si>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</si>
  <si>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</si>
  <si>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</si>
  <si>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</si>
  <si>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</si>
  <si>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</si>
  <si>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</si>
  <si>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</si>
  <si>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</si>
  <si>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</si>
  <si>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</si>
  <si>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</si>
  <si>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</si>
  <si>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</si>
  <si>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</si>
  <si>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</si>
  <si>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</si>
  <si>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</si>
  <si>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</si>
  <si>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</si>
  <si>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</si>
  <si>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</si>
  <si>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</si>
  <si>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</si>
  <si>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</si>
  <si>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</si>
  <si>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</si>
  <si>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</si>
  <si>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</si>
  <si>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</si>
  <si>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</si>
  <si>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</si>
  <si>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</si>
  <si>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</si>
  <si>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</si>
  <si>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</si>
  <si>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</si>
  <si>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</si>
  <si>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</si>
  <si>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</si>
  <si>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</si>
  <si>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</si>
  <si>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</si>
  <si>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</si>
  <si>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</si>
  <si>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</si>
  <si>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</si>
  <si>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</si>
  <si>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</si>
  <si>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</si>
  <si>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</si>
  <si>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</si>
  <si>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</si>
  <si>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</si>
  <si>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</si>
  <si>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</si>
  <si>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</si>
  <si>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</si>
  <si>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</si>
  <si>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</si>
  <si>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</si>
  <si>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</si>
  <si>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</si>
  <si>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</si>
  <si>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</si>
  <si>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</si>
  <si>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</si>
  <si>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</si>
  <si>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</si>
  <si>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</si>
  <si>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</si>
  <si>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</si>
  <si>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</si>
  <si>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</si>
  <si>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</si>
  <si>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</si>
  <si>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</si>
  <si>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</si>
  <si>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</si>
  <si>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</si>
  <si>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</si>
  <si>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</si>
  <si>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</si>
  <si>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</si>
  <si>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</si>
  <si>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</si>
  <si>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</si>
  <si>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</si>
  <si>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</si>
  <si>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</si>
  <si>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</si>
  <si>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</si>
  <si>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</si>
  <si>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</si>
  <si>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</si>
  <si>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</si>
  <si>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</si>
  <si>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</si>
  <si>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</si>
  <si>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</si>
  <si>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</si>
  <si>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</si>
  <si>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</si>
  <si>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</si>
  <si>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</si>
  <si>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</si>
  <si>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</si>
  <si>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</si>
  <si>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</si>
  <si>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</si>
  <si>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</si>
  <si>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</si>
  <si>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</si>
  <si>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</si>
  <si>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</si>
  <si>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</si>
  <si>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</si>
  <si>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</si>
  <si>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</si>
  <si>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</si>
  <si>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</si>
  <si>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</si>
  <si>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</si>
  <si>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</si>
  <si>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</si>
  <si>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</si>
  <si>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</si>
  <si>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</si>
  <si>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</si>
  <si>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</si>
  <si>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</si>
  <si>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</si>
  <si>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</si>
  <si>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</si>
  <si>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</si>
  <si>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</si>
  <si>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</si>
  <si>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</si>
  <si>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</si>
  <si>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</si>
  <si>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</si>
  <si>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</si>
  <si>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</si>
  <si>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</si>
  <si>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</si>
  <si>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</si>
  <si>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</si>
  <si>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</si>
  <si>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</si>
  <si>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</si>
  <si>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</si>
  <si>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</si>
  <si>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</si>
  <si>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</si>
  <si>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</si>
  <si>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</si>
  <si>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</si>
  <si>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</si>
  <si>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</si>
  <si>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</si>
  <si>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</si>
  <si>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</si>
  <si>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</si>
  <si>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</si>
  <si>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</si>
  <si>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</si>
  <si>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</si>
  <si>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</si>
  <si>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</si>
  <si>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</si>
  <si>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</si>
  <si>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</si>
  <si>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</si>
  <si>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</si>
  <si>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</si>
  <si>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</si>
  <si>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</si>
  <si>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</si>
  <si>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</si>
  <si>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</si>
  <si>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</si>
  <si>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</si>
  <si>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</si>
  <si>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</si>
  <si>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</si>
  <si>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</si>
  <si>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</si>
  <si>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</si>
  <si>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</si>
  <si>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</si>
  <si>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</si>
  <si>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</si>
  <si>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</si>
  <si>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</si>
  <si>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</si>
  <si>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</si>
  <si>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</si>
  <si>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</si>
  <si>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</si>
  <si>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</si>
  <si>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</si>
  <si>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</si>
  <si>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</si>
  <si>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</si>
  <si>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</si>
  <si>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</si>
  <si>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</si>
  <si>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</si>
  <si>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</si>
  <si>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</si>
  <si>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</si>
  <si>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</si>
  <si>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</si>
  <si>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</si>
  <si>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</si>
  <si>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</si>
  <si>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</si>
  <si>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</si>
  <si>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</si>
  <si>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</si>
  <si>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</si>
  <si>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</si>
  <si>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</si>
  <si>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</si>
  <si>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</si>
  <si>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</si>
  <si>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</si>
  <si>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</si>
  <si>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</si>
  <si>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</si>
  <si>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</si>
  <si>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</si>
  <si>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</si>
  <si>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</si>
  <si>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</si>
  <si>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</si>
  <si>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</si>
  <si>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</si>
  <si>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</si>
  <si>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</si>
  <si>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</si>
  <si>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</si>
  <si>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</si>
  <si>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</si>
  <si>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</si>
  <si>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</si>
  <si>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</si>
  <si>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</si>
  <si>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</si>
  <si>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</si>
  <si>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</si>
  <si>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</si>
  <si>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</si>
  <si>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</si>
  <si>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</si>
  <si>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</si>
  <si>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</si>
  <si>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</si>
  <si>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</si>
  <si>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</si>
  <si>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</si>
  <si>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</si>
  <si>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</si>
  <si>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</si>
  <si>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</si>
  <si>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</si>
  <si>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</si>
  <si>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</si>
  <si>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</si>
  <si>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</si>
  <si>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</si>
  <si>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</si>
  <si>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</si>
  <si>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</si>
  <si>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</si>
  <si>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</si>
  <si>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</si>
  <si>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</si>
  <si>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</si>
  <si>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</si>
  <si>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</si>
  <si>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</si>
  <si>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</si>
  <si>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</si>
  <si>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</si>
  <si>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</si>
  <si>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</si>
  <si>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</si>
  <si>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</si>
  <si>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</si>
  <si>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</si>
  <si>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</si>
  <si>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</si>
  <si>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</si>
  <si>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</si>
  <si>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</si>
  <si>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</si>
  <si>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</si>
  <si>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</si>
  <si>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</si>
  <si>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</si>
  <si>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</si>
  <si>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</si>
  <si>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</si>
  <si>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</si>
  <si>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</si>
  <si>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</si>
  <si>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</si>
  <si>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</si>
  <si>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</si>
  <si>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</si>
  <si>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</si>
  <si>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</si>
  <si>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</si>
  <si>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</si>
  <si>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</si>
  <si>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</si>
  <si>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</si>
  <si>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</si>
  <si>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</si>
  <si>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</si>
  <si>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</si>
  <si>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</si>
  <si>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</si>
  <si>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</si>
  <si>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</si>
  <si>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</si>
  <si>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</si>
  <si>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</si>
  <si>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</si>
  <si>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</si>
  <si>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</si>
  <si>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</si>
  <si>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</si>
  <si>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</si>
  <si>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</si>
  <si>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</si>
  <si>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</si>
  <si>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</si>
  <si>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</si>
  <si>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</si>
  <si>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</si>
  <si>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</si>
  <si>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</si>
  <si>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</si>
  <si>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</si>
  <si>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</si>
  <si>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</si>
  <si>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</si>
  <si>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</si>
  <si>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</si>
  <si>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</si>
  <si>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</si>
  <si>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</si>
  <si>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</si>
  <si>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</si>
  <si>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</si>
  <si>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</si>
  <si>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</si>
  <si>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</si>
  <si>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</si>
  <si>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</si>
  <si>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</si>
  <si>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</si>
  <si>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</si>
  <si>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</si>
  <si>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</si>
  <si>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</si>
  <si>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</si>
  <si>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</si>
  <si>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</si>
  <si>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</si>
  <si>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</si>
  <si>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</si>
  <si>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</si>
  <si>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</si>
  <si>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</si>
  <si>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</si>
  <si>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</si>
  <si>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</si>
  <si>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</si>
  <si>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</si>
  <si>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</si>
  <si>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</si>
  <si>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</si>
  <si>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</si>
  <si>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</si>
  <si>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</si>
  <si>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</si>
  <si>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</si>
  <si>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</si>
  <si>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</si>
  <si>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</si>
  <si>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</si>
  <si>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</si>
  <si>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</si>
  <si>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</si>
  <si>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</si>
  <si>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</si>
  <si>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</si>
  <si>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</si>
  <si>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</si>
  <si>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</si>
  <si>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</si>
  <si>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</si>
  <si>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</si>
  <si>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</si>
  <si>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</si>
  <si>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</si>
  <si>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</si>
  <si>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</si>
  <si>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</si>
  <si>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</si>
  <si>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</si>
  <si>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</si>
  <si>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</si>
  <si>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</si>
  <si>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</si>
  <si>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</si>
  <si>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</si>
  <si>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</si>
  <si>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</si>
  <si>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</si>
  <si>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</si>
  <si>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</si>
  <si>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</si>
  <si>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</si>
  <si>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</si>
  <si>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</si>
  <si>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</si>
  <si>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</si>
  <si>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</si>
  <si>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</si>
  <si>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</si>
  <si>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</si>
  <si>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</si>
  <si>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</si>
  <si>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</si>
  <si>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</si>
  <si>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</si>
  <si>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</si>
  <si>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</si>
  <si>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</si>
  <si>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</si>
  <si>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</si>
  <si>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</si>
  <si>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</si>
  <si>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</si>
  <si>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</si>
  <si>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</si>
  <si>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</si>
  <si>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</si>
  <si>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</si>
  <si>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</si>
  <si>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</si>
  <si>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</si>
  <si>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</si>
  <si>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</si>
  <si>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</si>
  <si>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</si>
  <si>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</si>
  <si>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</si>
  <si>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</si>
  <si>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</si>
  <si>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</si>
  <si>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</si>
  <si>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</si>
  <si>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</si>
  <si>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</si>
  <si>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</si>
  <si>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</si>
  <si>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</si>
  <si>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</si>
  <si>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</si>
  <si>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</si>
  <si>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</si>
  <si>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</si>
  <si>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</si>
  <si>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</si>
  <si>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</si>
  <si>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</si>
  <si>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</si>
  <si>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</si>
  <si>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</si>
  <si>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</si>
  <si>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</si>
  <si>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</si>
  <si>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</si>
  <si>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</si>
  <si>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</si>
  <si>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</si>
  <si>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</si>
  <si>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</si>
  <si>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</si>
  <si>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</si>
  <si>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</si>
  <si>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</si>
  <si>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</si>
  <si>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</si>
  <si>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</si>
  <si>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</si>
  <si>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</si>
  <si>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</si>
  <si>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</si>
  <si>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</si>
  <si>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</si>
  <si>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</si>
  <si>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</si>
  <si>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</si>
  <si>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</si>
  <si>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</si>
  <si>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</si>
  <si>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</si>
  <si>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</si>
  <si>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</si>
  <si>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</si>
  <si>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</si>
  <si>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</si>
  <si>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</si>
  <si>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</si>
  <si>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</si>
  <si>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</si>
  <si>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</si>
  <si>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</si>
  <si>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</si>
  <si>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</si>
  <si>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</si>
  <si>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</si>
  <si>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</si>
  <si>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</si>
  <si>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</si>
  <si>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</si>
  <si>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</si>
  <si>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</si>
  <si>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</si>
  <si>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</si>
  <si>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</si>
  <si>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</si>
  <si>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</si>
  <si>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</si>
  <si>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</si>
  <si>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</si>
  <si>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</si>
  <si>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</si>
  <si>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</si>
  <si>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</si>
  <si>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</si>
  <si>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</si>
  <si>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</si>
  <si>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</si>
  <si>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</si>
  <si>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</si>
  <si>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</si>
  <si>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</si>
  <si>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</si>
  <si>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</si>
  <si>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</si>
  <si>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</si>
  <si>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</si>
  <si>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</si>
  <si>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</si>
  <si>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</si>
  <si>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</si>
  <si>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</si>
  <si>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</si>
  <si>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</si>
  <si>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</si>
  <si>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</si>
  <si>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</si>
  <si>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</si>
  <si>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</si>
  <si>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</si>
  <si>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</si>
  <si>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</si>
  <si>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</si>
  <si>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</si>
  <si>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</si>
  <si>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</si>
  <si>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</si>
  <si>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</si>
  <si>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</si>
  <si>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</si>
  <si>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</si>
  <si>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</si>
  <si>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</si>
  <si>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</si>
  <si>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</si>
  <si>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</si>
  <si>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</si>
  <si>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</si>
  <si>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</si>
  <si>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</si>
  <si>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</si>
  <si>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</si>
  <si>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</si>
  <si>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</si>
  <si>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</si>
  <si>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</si>
  <si>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</si>
  <si>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</si>
  <si>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</si>
  <si>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</si>
  <si>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</si>
  <si>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</si>
  <si>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</si>
  <si>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</si>
  <si>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</si>
  <si>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</si>
  <si>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</si>
  <si>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</si>
  <si>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</si>
  <si>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</si>
  <si>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</si>
  <si>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</si>
  <si>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</si>
  <si>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</si>
  <si>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</si>
  <si>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</si>
  <si>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</si>
  <si>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</si>
  <si>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</si>
  <si>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</si>
  <si>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</si>
  <si>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</si>
  <si>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</si>
  <si>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</si>
  <si>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</si>
  <si>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</si>
  <si>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</si>
  <si>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</si>
  <si>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</si>
  <si>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</si>
  <si>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</si>
  <si>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</si>
  <si>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</si>
  <si>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</si>
  <si>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</si>
  <si>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</si>
  <si>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</si>
  <si>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</si>
  <si>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</si>
  <si>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</si>
  <si>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</si>
  <si>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</si>
  <si>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</si>
  <si>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</si>
  <si>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</si>
  <si>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</si>
  <si>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</si>
  <si>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</si>
  <si>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</si>
  <si>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</si>
  <si>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</si>
  <si>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</si>
  <si>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</si>
  <si>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</si>
  <si>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</si>
  <si>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</si>
  <si>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</si>
  <si>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</si>
  <si>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</si>
  <si>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</si>
  <si>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</si>
  <si>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</si>
  <si>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</si>
  <si>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</si>
  <si>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</si>
  <si>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</si>
  <si>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</si>
  <si>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</si>
  <si>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</si>
  <si>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</si>
  <si>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</si>
  <si>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</si>
  <si>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</si>
  <si>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</si>
  <si>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</si>
  <si>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</si>
  <si>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</si>
  <si>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</si>
  <si>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</si>
  <si>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</si>
  <si>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</si>
  <si>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</si>
  <si>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</si>
  <si>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</si>
  <si>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</si>
  <si>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</si>
  <si>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</si>
  <si>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</si>
  <si>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</si>
  <si>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</si>
  <si>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</si>
  <si>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</si>
  <si>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</si>
  <si>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</si>
  <si>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</si>
  <si>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</si>
  <si>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</si>
  <si>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</si>
  <si>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</si>
  <si>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</si>
  <si>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</si>
  <si>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</si>
  <si>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</si>
  <si>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</si>
  <si>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</si>
  <si>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</si>
  <si>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</si>
  <si>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</si>
  <si>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</si>
  <si>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</si>
  <si>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</si>
  <si>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</si>
  <si>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</si>
  <si>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</si>
  <si>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</si>
  <si>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</si>
  <si>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</si>
  <si>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</si>
  <si>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</si>
  <si>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</si>
  <si>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</si>
  <si>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</si>
  <si>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</si>
  <si>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</si>
  <si>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</si>
  <si>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</si>
  <si>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</si>
  <si>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</si>
  <si>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</si>
  <si>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</si>
  <si>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</si>
  <si>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</si>
  <si>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</si>
  <si>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</si>
  <si>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</si>
  <si>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</si>
  <si>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</si>
  <si>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</si>
  <si>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</si>
  <si>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</si>
  <si>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</si>
  <si>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</si>
  <si>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</si>
  <si>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</si>
  <si>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</si>
  <si>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</si>
  <si>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</si>
  <si>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</si>
  <si>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</si>
  <si>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</si>
  <si>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</si>
  <si>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</si>
  <si>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</si>
  <si>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</si>
  <si>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</si>
  <si>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</si>
  <si>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</si>
  <si>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</si>
  <si>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</si>
  <si>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</si>
  <si>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</si>
  <si>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</si>
  <si>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</si>
  <si>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</si>
  <si>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</si>
  <si>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</si>
  <si>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</si>
  <si>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</si>
  <si>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</si>
  <si>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</si>
  <si>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</si>
  <si>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</si>
  <si>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</si>
  <si>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</si>
  <si>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</si>
  <si>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</si>
  <si>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</si>
  <si>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</si>
  <si>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</si>
  <si>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</si>
  <si>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</si>
  <si>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</si>
  <si>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</si>
  <si>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</si>
  <si>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</si>
  <si>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</si>
  <si>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</si>
  <si>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</si>
  <si>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</si>
  <si>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</si>
  <si>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</si>
  <si>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</si>
  <si>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</si>
  <si>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</si>
  <si>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</si>
  <si>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</si>
  <si>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</si>
  <si>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</si>
  <si>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</si>
  <si>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</si>
  <si>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</si>
  <si>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</si>
  <si>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</si>
  <si>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</si>
  <si>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</si>
  <si>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</si>
  <si>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</si>
  <si>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</si>
  <si>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</si>
  <si>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</si>
  <si>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</si>
  <si>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</si>
  <si>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</si>
  <si>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</si>
  <si>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</si>
  <si>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</si>
  <si>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</si>
  <si>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</si>
  <si>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</si>
  <si>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</si>
  <si>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</si>
  <si>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</si>
  <si>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</si>
  <si>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</si>
  <si>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</si>
  <si>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</si>
  <si>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</si>
  <si>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</si>
  <si>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</si>
  <si>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</si>
  <si>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</si>
  <si>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</si>
  <si>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</si>
  <si>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</si>
  <si>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</si>
  <si>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</si>
  <si>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</si>
  <si>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</si>
  <si>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</si>
  <si>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</si>
  <si>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</si>
  <si>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</si>
  <si>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</si>
  <si>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</si>
  <si>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</si>
  <si>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</si>
  <si>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</si>
  <si>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</si>
  <si>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</si>
  <si>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</si>
  <si>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</si>
  <si>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</si>
  <si>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</si>
  <si>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</si>
  <si>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</si>
  <si>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</si>
  <si>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</si>
  <si>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</si>
  <si>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</si>
  <si>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</si>
  <si>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</si>
  <si>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</si>
  <si>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</si>
  <si>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</si>
  <si>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</si>
  <si>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</si>
  <si>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</si>
  <si>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</si>
  <si>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</si>
  <si>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</si>
  <si>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</si>
  <si>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</si>
  <si>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</si>
  <si>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</si>
  <si>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</si>
  <si>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</si>
  <si>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</si>
  <si>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</si>
  <si>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</si>
  <si>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</si>
  <si>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</si>
  <si>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</si>
  <si>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</si>
  <si>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</si>
  <si>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</si>
  <si>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</si>
  <si>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</si>
  <si>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</si>
  <si>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</si>
  <si>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</si>
  <si>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</si>
  <si>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</si>
  <si>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</si>
  <si>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</si>
  <si>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</si>
  <si>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</si>
  <si>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</si>
  <si>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</si>
  <si>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</si>
  <si>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</si>
  <si>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</si>
  <si>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</si>
  <si>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</si>
  <si>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</si>
  <si>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</si>
  <si>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</si>
  <si>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</si>
  <si>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</si>
  <si>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</si>
  <si>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</si>
  <si>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</si>
  <si>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</si>
  <si>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</si>
  <si>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</si>
  <si>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</si>
  <si>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</si>
  <si>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</si>
  <si>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</si>
  <si>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</si>
  <si>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</si>
  <si>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</si>
  <si>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</si>
  <si>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</si>
  <si>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</si>
  <si>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</si>
  <si>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</si>
  <si>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</si>
  <si>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</si>
  <si>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</si>
  <si>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</si>
  <si>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</si>
  <si>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</si>
  <si>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</si>
  <si>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</si>
  <si>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</si>
  <si>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</si>
  <si>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</si>
  <si>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</si>
  <si>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</si>
  <si>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</si>
  <si>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</si>
  <si>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</si>
  <si>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</si>
  <si>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</si>
  <si>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</si>
  <si>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</si>
  <si>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</si>
  <si>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</si>
  <si>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</si>
  <si>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</si>
  <si>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</si>
  <si>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</si>
  <si>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</si>
  <si>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</si>
  <si>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</si>
  <si>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</si>
  <si>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</si>
  <si>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</si>
  <si>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</si>
  <si>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</si>
  <si>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</si>
  <si>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</si>
  <si>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</si>
  <si>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</si>
  <si>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</si>
  <si>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</si>
  <si>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</si>
  <si>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</si>
  <si>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</si>
  <si>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</si>
  <si>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</si>
  <si>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</si>
  <si>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</si>
  <si>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</si>
  <si>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</si>
  <si>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</si>
  <si>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</si>
  <si>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</si>
  <si>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</si>
  <si>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</si>
  <si>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</si>
  <si>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</si>
  <si>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</si>
  <si>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</si>
  <si>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</si>
  <si>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</si>
  <si>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</si>
  <si>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</si>
  <si>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</si>
  <si>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</si>
  <si>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</si>
  <si>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</si>
  <si>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</si>
  <si>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</si>
  <si>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</si>
  <si>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</si>
  <si>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</si>
  <si>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</si>
  <si>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</si>
  <si>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</si>
  <si>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</si>
  <si>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</si>
  <si>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</si>
  <si>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</si>
  <si>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</si>
  <si>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</si>
  <si>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</si>
  <si>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</si>
  <si>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</si>
  <si>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</si>
  <si>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</si>
  <si>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</si>
  <si>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</si>
  <si>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</si>
  <si>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</si>
  <si>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</si>
  <si>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</si>
  <si>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</si>
  <si>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</si>
  <si>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</si>
  <si>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</si>
  <si>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</si>
  <si>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</si>
  <si>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</si>
  <si>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</si>
  <si>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</si>
  <si>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</si>
  <si>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</si>
  <si>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</si>
  <si>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</si>
  <si>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</si>
  <si>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</si>
  <si>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</si>
  <si>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</si>
  <si>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</si>
  <si>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</si>
  <si>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</si>
  <si>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</si>
  <si>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</si>
  <si>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</si>
  <si>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</si>
  <si>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</si>
  <si>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</si>
  <si>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</si>
  <si>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</si>
  <si>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</si>
  <si>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</si>
  <si>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</si>
  <si>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</si>
  <si>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</si>
  <si>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</si>
  <si>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</si>
  <si>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</si>
  <si>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</si>
  <si>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</si>
  <si>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</si>
  <si>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</si>
  <si>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</si>
  <si>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</si>
  <si>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</si>
  <si>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</si>
  <si>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</si>
  <si>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</si>
  <si>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</si>
  <si>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</si>
  <si>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</si>
  <si>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</si>
  <si>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</si>
  <si>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</si>
  <si>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</si>
  <si>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</si>
  <si>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</si>
  <si>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</si>
  <si>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</si>
  <si>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</si>
  <si>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</si>
  <si>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</si>
  <si>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</si>
  <si>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</si>
  <si>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</si>
  <si>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</si>
  <si>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</si>
  <si>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</si>
  <si>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</si>
  <si>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</si>
  <si>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</si>
  <si>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</si>
  <si>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</si>
  <si>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</si>
  <si>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</si>
  <si>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</si>
  <si>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</si>
  <si>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</si>
  <si>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</si>
  <si>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</si>
  <si>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</si>
  <si>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</si>
  <si>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</si>
  <si>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</si>
  <si>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</si>
  <si>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</si>
  <si>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</si>
  <si>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</si>
  <si>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</si>
  <si>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</si>
  <si>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</si>
  <si>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</si>
  <si>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</si>
  <si>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</si>
  <si>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</si>
  <si>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</si>
  <si>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</si>
  <si>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</si>
  <si>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</si>
  <si>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</si>
  <si>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</si>
  <si>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</si>
  <si>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</si>
  <si>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</si>
  <si>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</si>
  <si>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</si>
  <si>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</si>
  <si>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</si>
  <si>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</si>
  <si>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</si>
  <si>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</si>
  <si>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</si>
  <si>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</si>
  <si>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</si>
  <si>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</si>
  <si>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</si>
  <si>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</si>
  <si>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</si>
  <si>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</si>
  <si>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</si>
  <si>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</si>
  <si>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</si>
  <si>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</si>
  <si>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</si>
  <si>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</si>
  <si>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</si>
  <si>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</si>
  <si>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</si>
  <si>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</si>
  <si>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</si>
  <si>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</si>
  <si>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</si>
  <si>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</si>
  <si>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</si>
  <si>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</si>
  <si>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</si>
  <si>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</si>
  <si>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</si>
  <si>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</si>
  <si>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</si>
  <si>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</si>
  <si>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</si>
  <si>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</si>
  <si>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</si>
  <si>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</si>
  <si>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</si>
  <si>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</si>
  <si>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</si>
  <si>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</si>
  <si>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</si>
  <si>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</si>
  <si>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</si>
  <si>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</si>
  <si>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</si>
  <si>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</si>
  <si>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</si>
  <si>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</si>
  <si>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</si>
  <si>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 xml:space="preserve">EDAC (Dongguan) Limited </t>
    <phoneticPr fontId="4" type="noConversion"/>
  </si>
  <si>
    <t xml:space="preserve">products provided by the company </t>
    <phoneticPr fontId="4" type="noConversion"/>
  </si>
  <si>
    <t xml:space="preserve">91441900767301335k </t>
    <phoneticPr fontId="4" type="noConversion"/>
  </si>
  <si>
    <t xml:space="preserve">Changan Wusha International Park, Changan Town, Dongguan, Guangdong Province, China </t>
    <phoneticPr fontId="4" type="noConversion"/>
  </si>
  <si>
    <t xml:space="preserve">Jeffrey Zhao </t>
    <phoneticPr fontId="4" type="noConversion"/>
  </si>
  <si>
    <t>jeffrey_zhao@edac-dg.com</t>
    <phoneticPr fontId="4" type="noConversion"/>
  </si>
  <si>
    <t>+86-769-38932188</t>
    <phoneticPr fontId="4" type="noConversion"/>
  </si>
  <si>
    <t xml:space="preserve">Jeffrey Zhao </t>
    <phoneticPr fontId="4" type="noConversion"/>
  </si>
  <si>
    <t xml:space="preserve">Quality Manager </t>
    <phoneticPr fontId="4" type="noConversion"/>
  </si>
  <si>
    <t>WWW.EDAC.NET</t>
    <phoneticPr fontId="4" type="noConversion"/>
  </si>
  <si>
    <t xml:space="preserve">self-declaration </t>
    <phoneticPr fontId="4" type="noConversion"/>
  </si>
  <si>
    <t>CID001622</t>
    <phoneticPr fontId="28"/>
  </si>
  <si>
    <t>CID002243</t>
    <phoneticPr fontId="28"/>
  </si>
  <si>
    <t>CID001147</t>
    <phoneticPr fontId="28"/>
  </si>
  <si>
    <t>CID003116</t>
    <phoneticPr fontId="28"/>
  </si>
  <si>
    <t>Metalor Technologies( Suzhou) Ltd.</t>
    <phoneticPr fontId="28"/>
  </si>
  <si>
    <t xml:space="preserve">Zijin Kuangye Refinery </t>
    <phoneticPr fontId="28"/>
  </si>
  <si>
    <t xml:space="preserve">Shandong Zhaojin Gold&amp;silver refinery Co., Ltd. </t>
    <phoneticPr fontId="28"/>
  </si>
  <si>
    <t>CID001622</t>
    <phoneticPr fontId="28"/>
  </si>
  <si>
    <t>CID002180</t>
    <phoneticPr fontId="28"/>
  </si>
  <si>
    <t xml:space="preserve">Yunnan Tin company Limited </t>
    <phoneticPr fontId="28"/>
  </si>
  <si>
    <t>CID002180</t>
    <phoneticPr fontId="28"/>
  </si>
  <si>
    <t>Guangdong Hanhe Non-Ferrous Metal Co., Ltd.</t>
    <phoneticPr fontId="28"/>
  </si>
  <si>
    <t>Guangdong Hanhe Non-Ferrous Metal Co., Ltd.</t>
    <phoneticPr fontId="1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</si>
</sst>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5">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
      <sz val="9"/>
      <name val="Calibri"/>
      <family val="2"/>
      <charset val="134"/>
      <scheme val="min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7">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55">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7"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08"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9"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0"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1"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2"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4"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0" fillId="0" borderId="0" xfId="0" applyNumberFormat="1" applyFont="1" applyAlignment="1">
      <alignment horizontal="left" vertical="center" wrapText="1"/>
    </xf>
    <xf numFmtId="9" fontId="118"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1"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8"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9"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8"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4"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2" fillId="0" borderId="0" xfId="527" applyFont="1" applyFill="1" applyAlignment="1">
      <alignment horizontal="left" vertical="center" wrapText="1"/>
    </xf>
    <xf numFmtId="164" fontId="6" fillId="0" borderId="0" xfId="480" applyAlignment="1">
      <alignment vertical="center"/>
    </xf>
    <xf numFmtId="0" fontId="123" fillId="0" borderId="0" xfId="0" applyFont="1" applyAlignment="1">
      <alignment vertical="center" wrapText="1"/>
    </xf>
    <xf numFmtId="0" fontId="55" fillId="0" borderId="0" xfId="0" applyFont="1" applyAlignment="1">
      <alignment vertical="center" wrapText="1"/>
    </xf>
    <xf numFmtId="0" fontId="0" fillId="0" borderId="66" xfId="0" applyBorder="1" applyAlignment="1" applyProtection="1">
      <alignment horizontal="left" vertical="center" wrapText="1"/>
      <protection locked="0" hidden="1"/>
    </xf>
    <xf numFmtId="0" fontId="0" fillId="0" borderId="65" xfId="0" applyFont="1" applyBorder="1" applyAlignment="1" applyProtection="1">
      <alignment vertical="center" wrapText="1"/>
      <protection locked="0" hidden="1"/>
    </xf>
    <xf numFmtId="49" fontId="15" fillId="2" borderId="28"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0" fillId="0" borderId="0" xfId="0" applyAlignment="1" applyProtection="1">
      <alignment vertical="center"/>
      <protection locked="0"/>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1" fillId="0" borderId="25" xfId="487" applyFont="1" applyFill="1" applyBorder="1" applyAlignment="1" applyProtection="1">
      <alignment horizontal="left" vertical="center" wrapText="1"/>
    </xf>
    <xf numFmtId="0" fontId="101" fillId="0" borderId="18" xfId="487" applyFont="1" applyFill="1" applyBorder="1" applyAlignment="1" applyProtection="1">
      <alignment horizontal="left" vertical="center" wrapText="1"/>
    </xf>
    <xf numFmtId="0" fontId="101"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xf>
    <xf numFmtId="49" fontId="102" fillId="2" borderId="1" xfId="487" applyNumberFormat="1" applyFont="1" applyFill="1" applyBorder="1" applyAlignment="1" applyProtection="1">
      <alignment horizontal="left" vertical="center" wrapText="1"/>
      <protection locked="0"/>
    </xf>
    <xf numFmtId="49" fontId="102"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xf>
    <xf numFmtId="49" fontId="103" fillId="2" borderId="1" xfId="0" applyNumberFormat="1" applyFont="1" applyFill="1" applyBorder="1" applyAlignment="1" applyProtection="1">
      <alignment horizontal="left" vertical="center" wrapText="1"/>
      <protection locked="0"/>
    </xf>
    <xf numFmtId="49" fontId="103" fillId="2" borderId="28" xfId="0" applyNumberFormat="1" applyFont="1" applyFill="1" applyBorder="1" applyAlignment="1" applyProtection="1">
      <alignment horizontal="left" vertical="center" wrapText="1"/>
      <protection locked="0"/>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E010000}"/>
    <cellStyle name="Neutral 2" xfId="497" xr:uid="{00000000-0005-0000-0000-0000EF010000}"/>
    <cellStyle name="Normal" xfId="0" builtinId="0"/>
    <cellStyle name="Normal 10" xfId="498" xr:uid="{00000000-0005-0000-0000-0000F0010000}"/>
    <cellStyle name="Normal 100" xfId="499" xr:uid="{00000000-0005-0000-0000-0000F1010000}"/>
    <cellStyle name="Normal 118" xfId="500" xr:uid="{00000000-0005-0000-0000-0000F2010000}"/>
    <cellStyle name="Normal 12" xfId="501" xr:uid="{00000000-0005-0000-0000-0000F3010000}"/>
    <cellStyle name="Normal 13" xfId="502" xr:uid="{00000000-0005-0000-0000-0000F4010000}"/>
    <cellStyle name="Normal 13 2" xfId="503" xr:uid="{00000000-0005-0000-0000-0000F5010000}"/>
    <cellStyle name="Normal 13 2 2" xfId="504" xr:uid="{00000000-0005-0000-0000-0000F6010000}"/>
    <cellStyle name="Normal 13 2 2 2" xfId="505" xr:uid="{00000000-0005-0000-0000-0000F7010000}"/>
    <cellStyle name="Normal 13 2 2 2 2" xfId="506" xr:uid="{00000000-0005-0000-0000-0000F8010000}"/>
    <cellStyle name="Normal 13 2 2 2 3" xfId="507" xr:uid="{00000000-0005-0000-0000-0000F9010000}"/>
    <cellStyle name="Normal 13 2 3" xfId="508" xr:uid="{00000000-0005-0000-0000-0000FA010000}"/>
    <cellStyle name="Normal 13 3" xfId="509" xr:uid="{00000000-0005-0000-0000-0000FB010000}"/>
    <cellStyle name="Normal 13 3 2" xfId="510" xr:uid="{00000000-0005-0000-0000-0000FC010000}"/>
    <cellStyle name="Normal 13 4" xfId="511" xr:uid="{00000000-0005-0000-0000-0000FD010000}"/>
    <cellStyle name="Normal 13 6" xfId="512" xr:uid="{00000000-0005-0000-0000-0000FE010000}"/>
    <cellStyle name="Normal 15" xfId="513" xr:uid="{00000000-0005-0000-0000-0000FF010000}"/>
    <cellStyle name="Normal 16" xfId="514" xr:uid="{00000000-0005-0000-0000-000000020000}"/>
    <cellStyle name="Normal 17" xfId="515" xr:uid="{00000000-0005-0000-0000-000001020000}"/>
    <cellStyle name="Normal 19" xfId="516" xr:uid="{00000000-0005-0000-0000-000002020000}"/>
    <cellStyle name="Normal 2" xfId="517" xr:uid="{00000000-0005-0000-0000-000003020000}"/>
    <cellStyle name="Normal 2 2" xfId="518" xr:uid="{00000000-0005-0000-0000-000004020000}"/>
    <cellStyle name="Normal 2 2 2" xfId="519" xr:uid="{00000000-0005-0000-0000-000005020000}"/>
    <cellStyle name="Normal 2 2 3" xfId="520" xr:uid="{00000000-0005-0000-0000-000006020000}"/>
    <cellStyle name="Normal 2 3" xfId="521" xr:uid="{00000000-0005-0000-0000-000007020000}"/>
    <cellStyle name="Normal 2 3 2" xfId="522" xr:uid="{00000000-0005-0000-0000-000008020000}"/>
    <cellStyle name="Normal 2 4" xfId="523" xr:uid="{00000000-0005-0000-0000-000009020000}"/>
    <cellStyle name="Normal 2 4 2" xfId="524" xr:uid="{00000000-0005-0000-0000-00000A020000}"/>
    <cellStyle name="Normal 2 5" xfId="525" xr:uid="{00000000-0005-0000-0000-00000B020000}"/>
    <cellStyle name="Normal 23" xfId="526" xr:uid="{00000000-0005-0000-0000-00000C020000}"/>
    <cellStyle name="Normal 3" xfId="527" xr:uid="{00000000-0005-0000-0000-00000D020000}"/>
    <cellStyle name="Normal 3 2" xfId="528" xr:uid="{00000000-0005-0000-0000-00000E020000}"/>
    <cellStyle name="Normal 3 2 11" xfId="529" xr:uid="{00000000-0005-0000-0000-00000F020000}"/>
    <cellStyle name="Normal 3 3" xfId="530" xr:uid="{00000000-0005-0000-0000-000010020000}"/>
    <cellStyle name="Normal 3 4" xfId="531" xr:uid="{00000000-0005-0000-0000-000011020000}"/>
    <cellStyle name="Normal 3 8" xfId="532" xr:uid="{00000000-0005-0000-0000-000012020000}"/>
    <cellStyle name="Normal 3 8 2" xfId="533" xr:uid="{00000000-0005-0000-0000-000013020000}"/>
    <cellStyle name="Normal 3 8 2 2" xfId="534" xr:uid="{00000000-0005-0000-0000-000014020000}"/>
    <cellStyle name="Normal 3 8 3" xfId="535" xr:uid="{00000000-0005-0000-0000-000015020000}"/>
    <cellStyle name="Normal 4" xfId="536" xr:uid="{00000000-0005-0000-0000-000016020000}"/>
    <cellStyle name="Normal 4 2" xfId="537" xr:uid="{00000000-0005-0000-0000-000017020000}"/>
    <cellStyle name="Normal 4 3" xfId="538" xr:uid="{00000000-0005-0000-0000-000018020000}"/>
    <cellStyle name="Normal 4 4" xfId="539" xr:uid="{00000000-0005-0000-0000-000019020000}"/>
    <cellStyle name="Normal 416" xfId="540" xr:uid="{00000000-0005-0000-0000-00001A020000}"/>
    <cellStyle name="Normal 417" xfId="541" xr:uid="{00000000-0005-0000-0000-00001B020000}"/>
    <cellStyle name="Normal 428" xfId="542" xr:uid="{00000000-0005-0000-0000-00001C020000}"/>
    <cellStyle name="Normal 429" xfId="543" xr:uid="{00000000-0005-0000-0000-00001D020000}"/>
    <cellStyle name="Normal 486" xfId="544" xr:uid="{00000000-0005-0000-0000-00001E020000}"/>
    <cellStyle name="Normal 487" xfId="545" xr:uid="{00000000-0005-0000-0000-00001F020000}"/>
    <cellStyle name="Normal 489" xfId="546" xr:uid="{00000000-0005-0000-0000-000020020000}"/>
    <cellStyle name="Normal 490" xfId="547" xr:uid="{00000000-0005-0000-0000-000021020000}"/>
    <cellStyle name="Normal 5" xfId="548" xr:uid="{00000000-0005-0000-0000-000022020000}"/>
    <cellStyle name="Normal 5 2" xfId="549" xr:uid="{00000000-0005-0000-0000-000023020000}"/>
    <cellStyle name="Normal 5 3" xfId="550" xr:uid="{00000000-0005-0000-0000-000024020000}"/>
    <cellStyle name="Normal 506" xfId="551" xr:uid="{00000000-0005-0000-0000-000025020000}"/>
    <cellStyle name="Normal 516" xfId="552" xr:uid="{00000000-0005-0000-0000-000026020000}"/>
    <cellStyle name="Normal 517" xfId="553" xr:uid="{00000000-0005-0000-0000-000027020000}"/>
    <cellStyle name="Normal 53" xfId="554" xr:uid="{00000000-0005-0000-0000-000028020000}"/>
    <cellStyle name="Normal 54" xfId="555" xr:uid="{00000000-0005-0000-0000-000029020000}"/>
    <cellStyle name="Normal 542" xfId="556" xr:uid="{00000000-0005-0000-0000-00002A020000}"/>
    <cellStyle name="Normal 543" xfId="557" xr:uid="{00000000-0005-0000-0000-00002B020000}"/>
    <cellStyle name="Normal 544" xfId="558" xr:uid="{00000000-0005-0000-0000-00002C020000}"/>
    <cellStyle name="Normal 547" xfId="559" xr:uid="{00000000-0005-0000-0000-00002D020000}"/>
    <cellStyle name="Normal 548" xfId="560" xr:uid="{00000000-0005-0000-0000-00002E020000}"/>
    <cellStyle name="Normal 550" xfId="561" xr:uid="{00000000-0005-0000-0000-00002F020000}"/>
    <cellStyle name="Normal 571" xfId="562" xr:uid="{00000000-0005-0000-0000-000030020000}"/>
    <cellStyle name="Normal 572" xfId="563" xr:uid="{00000000-0005-0000-0000-000031020000}"/>
    <cellStyle name="Normal 6" xfId="564" xr:uid="{00000000-0005-0000-0000-000032020000}"/>
    <cellStyle name="Normal 6 2" xfId="565" xr:uid="{00000000-0005-0000-0000-000033020000}"/>
    <cellStyle name="Normal 6 3" xfId="566" xr:uid="{00000000-0005-0000-0000-000034020000}"/>
    <cellStyle name="Normal 7" xfId="567" xr:uid="{00000000-0005-0000-0000-000035020000}"/>
    <cellStyle name="Normal 7 2" xfId="568" xr:uid="{00000000-0005-0000-0000-000036020000}"/>
    <cellStyle name="Normal 8" xfId="569" xr:uid="{00000000-0005-0000-0000-000037020000}"/>
    <cellStyle name="Normal_Sheet1" xfId="570" xr:uid="{00000000-0005-0000-0000-000038020000}"/>
    <cellStyle name="Note 2" xfId="571" xr:uid="{00000000-0005-0000-0000-000039020000}"/>
    <cellStyle name="Output 2" xfId="572" xr:uid="{00000000-0005-0000-0000-00003A020000}"/>
    <cellStyle name="Percent 2" xfId="573" xr:uid="{00000000-0005-0000-0000-00003B020000}"/>
    <cellStyle name="Standard 3" xfId="574" xr:uid="{00000000-0005-0000-0000-00003C020000}"/>
    <cellStyle name="Standard 4" xfId="575" xr:uid="{00000000-0005-0000-0000-00003D020000}"/>
    <cellStyle name="Standard 4 2" xfId="576" xr:uid="{00000000-0005-0000-0000-00003E020000}"/>
    <cellStyle name="Standard 4 2 2" xfId="577" xr:uid="{00000000-0005-0000-0000-00003F020000}"/>
    <cellStyle name="Standard 4 2 2 2" xfId="578" xr:uid="{00000000-0005-0000-0000-000040020000}"/>
    <cellStyle name="Standard 4 2 3" xfId="579" xr:uid="{00000000-0005-0000-0000-000041020000}"/>
    <cellStyle name="Standard 4 3" xfId="580" xr:uid="{00000000-0005-0000-0000-000042020000}"/>
    <cellStyle name="Standard 4 3 2" xfId="581" xr:uid="{00000000-0005-0000-0000-000043020000}"/>
    <cellStyle name="Standard 4 4" xfId="582" xr:uid="{00000000-0005-0000-0000-000044020000}"/>
    <cellStyle name="Standard 6" xfId="583" xr:uid="{00000000-0005-0000-0000-000045020000}"/>
    <cellStyle name="Title 2" xfId="584" xr:uid="{00000000-0005-0000-0000-000046020000}"/>
    <cellStyle name="Total 2" xfId="585" xr:uid="{00000000-0005-0000-0000-000047020000}"/>
    <cellStyle name="Warning Text 2" xfId="586" xr:uid="{00000000-0005-0000-0000-000048020000}"/>
    <cellStyle name="표준 2" xfId="587" xr:uid="{00000000-0005-0000-0000-00004F020000}"/>
    <cellStyle name="一般 7" xfId="588" xr:uid="{00000000-0005-0000-0000-00004E020000}"/>
    <cellStyle name="標準 2" xfId="589" xr:uid="{00000000-0005-0000-0000-000049020000}"/>
    <cellStyle name="標準 2 2" xfId="590" xr:uid="{00000000-0005-0000-0000-00004A020000}"/>
    <cellStyle name="標準 2 3" xfId="591" xr:uid="{00000000-0005-0000-0000-00004B020000}"/>
  </cellStyles>
  <dxfs count="183">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DAC-DG/AppData/Local/Microsoft/Windows/Temporary%20Internet%20Files/Content.Outlook/15Y24MLE/RMI_CMRT%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effrey_zhao@edac-dg.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edac.net/" TargetMode="External"/><Relationship Id="rId4" Type="http://schemas.openxmlformats.org/officeDocument/2006/relationships/hyperlink" Target="mailto:jeffrey_zhao@edac-dg.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13"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58"/>
      <c r="B2" s="38" t="s">
        <v>963</v>
      </c>
      <c r="C2" s="36"/>
      <c r="D2" s="207"/>
      <c r="E2" s="3"/>
      <c r="F2" s="36"/>
      <c r="G2" s="34"/>
    </row>
    <row r="3" spans="1:7">
      <c r="A3" s="358"/>
      <c r="B3" s="5" t="s">
        <v>952</v>
      </c>
      <c r="C3" s="6"/>
      <c r="D3" s="208"/>
      <c r="E3" s="3"/>
      <c r="F3" s="6"/>
      <c r="G3" s="34"/>
    </row>
    <row r="4" spans="1:7" ht="15.75">
      <c r="A4" s="358"/>
      <c r="B4" s="41" t="s">
        <v>965</v>
      </c>
      <c r="C4" s="7"/>
      <c r="D4" s="209"/>
      <c r="E4" s="3"/>
      <c r="F4" s="7"/>
      <c r="G4" s="34"/>
    </row>
    <row r="5" spans="1:7">
      <c r="A5" s="358"/>
      <c r="B5" s="40" t="s">
        <v>1157</v>
      </c>
      <c r="C5" s="4"/>
      <c r="D5" s="210"/>
      <c r="E5" s="3"/>
      <c r="F5" s="4"/>
      <c r="G5" s="34"/>
    </row>
    <row r="6" spans="1:7">
      <c r="A6" s="358"/>
      <c r="B6" s="8"/>
      <c r="C6" s="8"/>
      <c r="D6" s="211"/>
      <c r="E6" s="8"/>
      <c r="F6" s="8"/>
      <c r="G6" s="34"/>
    </row>
    <row r="7" spans="1:7">
      <c r="A7" s="358"/>
      <c r="B7" s="8"/>
      <c r="C7" s="8"/>
      <c r="D7" s="211"/>
      <c r="E7" s="8"/>
      <c r="F7" s="8"/>
      <c r="G7" s="34"/>
    </row>
    <row r="8" spans="1:7">
      <c r="A8" s="358"/>
      <c r="B8" s="8"/>
      <c r="C8" s="8"/>
      <c r="D8" s="211"/>
      <c r="E8" s="8"/>
      <c r="F8" s="8"/>
      <c r="G8" s="34"/>
    </row>
    <row r="9" spans="1:7">
      <c r="A9" s="358"/>
      <c r="B9" s="361" t="s">
        <v>966</v>
      </c>
      <c r="C9" s="361"/>
      <c r="D9" s="361"/>
      <c r="E9" s="361"/>
      <c r="F9" s="361"/>
      <c r="G9" s="34"/>
    </row>
    <row r="10" spans="1:7" ht="27" customHeight="1">
      <c r="A10" s="358"/>
      <c r="B10" s="362" t="s">
        <v>506</v>
      </c>
      <c r="C10" s="362"/>
      <c r="D10" s="362"/>
      <c r="E10" s="362"/>
      <c r="F10" s="362"/>
      <c r="G10" s="34"/>
    </row>
    <row r="11" spans="1:7" ht="27" customHeight="1">
      <c r="A11" s="358"/>
      <c r="B11" s="363"/>
      <c r="C11" s="363"/>
      <c r="D11" s="363"/>
      <c r="E11" s="363"/>
      <c r="F11" s="363"/>
      <c r="G11" s="34"/>
    </row>
    <row r="12" spans="1:7" ht="16.5">
      <c r="A12" s="358"/>
      <c r="B12" s="42" t="s">
        <v>964</v>
      </c>
      <c r="C12" s="43" t="s">
        <v>967</v>
      </c>
      <c r="D12" s="212" t="s">
        <v>968</v>
      </c>
      <c r="E12" s="43" t="s">
        <v>701</v>
      </c>
      <c r="F12" s="43" t="s">
        <v>702</v>
      </c>
      <c r="G12" s="34"/>
    </row>
    <row r="13" spans="1:7" ht="33.75">
      <c r="A13" s="358"/>
      <c r="B13" s="2">
        <v>1</v>
      </c>
      <c r="C13" s="37" t="s">
        <v>1208</v>
      </c>
      <c r="D13" s="39" t="s">
        <v>992</v>
      </c>
      <c r="E13" s="196" t="s">
        <v>969</v>
      </c>
      <c r="F13" s="196"/>
      <c r="G13" s="34"/>
    </row>
    <row r="14" spans="1:7" ht="33.75">
      <c r="A14" s="358"/>
      <c r="B14" s="2">
        <v>2</v>
      </c>
      <c r="C14" s="37" t="s">
        <v>1208</v>
      </c>
      <c r="D14" s="39" t="s">
        <v>1142</v>
      </c>
      <c r="E14" s="196" t="s">
        <v>602</v>
      </c>
      <c r="F14" s="196" t="s">
        <v>603</v>
      </c>
      <c r="G14" s="34"/>
    </row>
    <row r="15" spans="1:7" ht="89.1" customHeight="1">
      <c r="A15" s="358"/>
      <c r="B15" s="364">
        <v>2.0099999999999998</v>
      </c>
      <c r="C15" s="355" t="s">
        <v>1208</v>
      </c>
      <c r="D15" s="367" t="s">
        <v>2686</v>
      </c>
      <c r="E15" s="197" t="s">
        <v>703</v>
      </c>
      <c r="F15" s="197" t="s">
        <v>706</v>
      </c>
      <c r="G15" s="34"/>
    </row>
    <row r="16" spans="1:7" ht="99" customHeight="1">
      <c r="A16" s="358"/>
      <c r="B16" s="365"/>
      <c r="C16" s="356"/>
      <c r="D16" s="368"/>
      <c r="E16" s="198"/>
      <c r="F16" s="198" t="s">
        <v>704</v>
      </c>
      <c r="G16" s="34"/>
    </row>
    <row r="17" spans="1:7" ht="63" customHeight="1">
      <c r="A17" s="358"/>
      <c r="B17" s="366"/>
      <c r="C17" s="357"/>
      <c r="D17" s="369"/>
      <c r="E17" s="37"/>
      <c r="F17" s="37" t="s">
        <v>705</v>
      </c>
      <c r="G17" s="34"/>
    </row>
    <row r="18" spans="1:7" ht="117" customHeight="1">
      <c r="A18" s="358"/>
      <c r="B18" s="364">
        <v>2.02</v>
      </c>
      <c r="C18" s="355" t="s">
        <v>1208</v>
      </c>
      <c r="D18" s="367" t="s">
        <v>2687</v>
      </c>
      <c r="E18" s="197" t="s">
        <v>507</v>
      </c>
      <c r="F18" s="197" t="s">
        <v>596</v>
      </c>
      <c r="G18" s="34"/>
    </row>
    <row r="19" spans="1:7" ht="71.099999999999994" customHeight="1">
      <c r="A19" s="358"/>
      <c r="B19" s="365"/>
      <c r="C19" s="356"/>
      <c r="D19" s="368"/>
      <c r="E19" s="198" t="s">
        <v>601</v>
      </c>
      <c r="F19" s="198" t="s">
        <v>508</v>
      </c>
      <c r="G19" s="34"/>
    </row>
    <row r="20" spans="1:7" ht="90.75" customHeight="1">
      <c r="A20" s="358"/>
      <c r="B20" s="365"/>
      <c r="C20" s="356"/>
      <c r="D20" s="368"/>
      <c r="E20" s="198"/>
      <c r="F20" s="198" t="s">
        <v>708</v>
      </c>
      <c r="G20" s="34"/>
    </row>
    <row r="21" spans="1:7" ht="74.25" customHeight="1">
      <c r="A21" s="358"/>
      <c r="B21" s="366"/>
      <c r="C21" s="357"/>
      <c r="D21" s="369"/>
      <c r="E21" s="37"/>
      <c r="F21" s="37" t="s">
        <v>707</v>
      </c>
      <c r="G21" s="34"/>
    </row>
    <row r="22" spans="1:7" ht="90" customHeight="1">
      <c r="A22" s="358"/>
      <c r="B22" s="373">
        <v>2.0299999999999998</v>
      </c>
      <c r="C22" s="373" t="s">
        <v>935</v>
      </c>
      <c r="D22" s="352" t="s">
        <v>2688</v>
      </c>
      <c r="E22" s="355" t="s">
        <v>505</v>
      </c>
      <c r="F22" s="197" t="s">
        <v>529</v>
      </c>
      <c r="G22" s="34"/>
    </row>
    <row r="23" spans="1:7" ht="109.5" customHeight="1">
      <c r="A23" s="358"/>
      <c r="B23" s="374"/>
      <c r="C23" s="374"/>
      <c r="D23" s="353"/>
      <c r="E23" s="356"/>
      <c r="F23" s="198" t="s">
        <v>936</v>
      </c>
      <c r="G23" s="34"/>
    </row>
    <row r="24" spans="1:7" ht="74.25" customHeight="1">
      <c r="A24" s="358"/>
      <c r="B24" s="375"/>
      <c r="C24" s="375"/>
      <c r="D24" s="354"/>
      <c r="E24" s="357"/>
      <c r="F24" s="37" t="s">
        <v>504</v>
      </c>
      <c r="G24" s="34"/>
    </row>
    <row r="25" spans="1:7" ht="72" customHeight="1">
      <c r="A25" s="358"/>
      <c r="B25" s="2" t="s">
        <v>527</v>
      </c>
      <c r="C25" s="37" t="s">
        <v>528</v>
      </c>
      <c r="D25" s="39" t="s">
        <v>2689</v>
      </c>
      <c r="E25" s="37" t="s">
        <v>2682</v>
      </c>
      <c r="F25" s="37" t="s">
        <v>530</v>
      </c>
      <c r="G25" s="34"/>
    </row>
    <row r="26" spans="1:7" ht="98.1" customHeight="1">
      <c r="A26" s="358"/>
      <c r="B26" s="370">
        <v>3</v>
      </c>
      <c r="C26" s="364" t="s">
        <v>74</v>
      </c>
      <c r="D26" s="367" t="s">
        <v>2690</v>
      </c>
      <c r="E26" s="355" t="s">
        <v>0</v>
      </c>
      <c r="F26" s="197" t="s">
        <v>68</v>
      </c>
      <c r="G26" s="34"/>
    </row>
    <row r="27" spans="1:7" ht="90" customHeight="1">
      <c r="A27" s="358"/>
      <c r="B27" s="371"/>
      <c r="C27" s="365"/>
      <c r="D27" s="368"/>
      <c r="E27" s="356"/>
      <c r="F27" s="198" t="s">
        <v>63</v>
      </c>
      <c r="G27" s="34"/>
    </row>
    <row r="28" spans="1:7" ht="19.350000000000001" customHeight="1">
      <c r="A28" s="358"/>
      <c r="B28" s="371"/>
      <c r="C28" s="365"/>
      <c r="D28" s="368"/>
      <c r="E28" s="356"/>
      <c r="F28" s="198" t="s">
        <v>64</v>
      </c>
      <c r="G28" s="34"/>
    </row>
    <row r="29" spans="1:7" ht="74.45" customHeight="1">
      <c r="A29" s="358"/>
      <c r="B29" s="371"/>
      <c r="C29" s="365"/>
      <c r="D29" s="368"/>
      <c r="E29" s="356"/>
      <c r="F29" s="198" t="s">
        <v>65</v>
      </c>
      <c r="G29" s="34"/>
    </row>
    <row r="30" spans="1:7" ht="62.45" customHeight="1">
      <c r="A30" s="358"/>
      <c r="B30" s="371"/>
      <c r="C30" s="365"/>
      <c r="D30" s="368"/>
      <c r="E30" s="356"/>
      <c r="F30" s="198" t="s">
        <v>66</v>
      </c>
      <c r="G30" s="34"/>
    </row>
    <row r="31" spans="1:7" ht="81" customHeight="1">
      <c r="A31" s="358"/>
      <c r="B31" s="371"/>
      <c r="C31" s="365"/>
      <c r="D31" s="368"/>
      <c r="E31" s="356"/>
      <c r="F31" s="198" t="s">
        <v>67</v>
      </c>
      <c r="G31" s="34"/>
    </row>
    <row r="32" spans="1:7" ht="48.75" customHeight="1">
      <c r="A32" s="358"/>
      <c r="B32" s="371"/>
      <c r="C32" s="365"/>
      <c r="D32" s="368"/>
      <c r="E32" s="356"/>
      <c r="F32" s="198" t="s">
        <v>70</v>
      </c>
      <c r="G32" s="34"/>
    </row>
    <row r="33" spans="1:7" ht="98.45" customHeight="1">
      <c r="A33" s="358"/>
      <c r="B33" s="371"/>
      <c r="C33" s="365"/>
      <c r="D33" s="368"/>
      <c r="E33" s="356"/>
      <c r="F33" s="198" t="s">
        <v>69</v>
      </c>
      <c r="G33" s="34"/>
    </row>
    <row r="34" spans="1:7" ht="89.1" customHeight="1">
      <c r="A34" s="358"/>
      <c r="B34" s="371"/>
      <c r="C34" s="365"/>
      <c r="D34" s="368"/>
      <c r="E34" s="356"/>
      <c r="F34" s="198" t="s">
        <v>71</v>
      </c>
      <c r="G34" s="34"/>
    </row>
    <row r="35" spans="1:7" ht="29.1" customHeight="1">
      <c r="A35" s="358"/>
      <c r="B35" s="371"/>
      <c r="C35" s="365"/>
      <c r="D35" s="368"/>
      <c r="E35" s="356"/>
      <c r="F35" s="198" t="s">
        <v>72</v>
      </c>
      <c r="G35" s="34"/>
    </row>
    <row r="36" spans="1:7" ht="126.75">
      <c r="A36" s="358"/>
      <c r="B36" s="372"/>
      <c r="C36" s="366"/>
      <c r="D36" s="369"/>
      <c r="E36" s="357"/>
      <c r="F36" s="199" t="s">
        <v>73</v>
      </c>
      <c r="G36" s="34"/>
    </row>
    <row r="37" spans="1:7" ht="123.75">
      <c r="A37" s="358"/>
      <c r="B37" s="175">
        <v>3.01</v>
      </c>
      <c r="C37" s="176" t="s">
        <v>74</v>
      </c>
      <c r="D37" s="39" t="s">
        <v>2691</v>
      </c>
      <c r="E37" s="200" t="s">
        <v>1458</v>
      </c>
      <c r="F37" s="201" t="s">
        <v>1577</v>
      </c>
      <c r="G37" s="34"/>
    </row>
    <row r="38" spans="1:7" ht="112.5">
      <c r="A38" s="358"/>
      <c r="B38" s="175">
        <v>3.02</v>
      </c>
      <c r="C38" s="176" t="s">
        <v>1492</v>
      </c>
      <c r="D38" s="39" t="s">
        <v>2692</v>
      </c>
      <c r="E38" s="200" t="s">
        <v>1507</v>
      </c>
      <c r="F38" s="201" t="s">
        <v>1578</v>
      </c>
      <c r="G38" s="34"/>
    </row>
    <row r="39" spans="1:7" ht="101.25">
      <c r="A39" s="358"/>
      <c r="B39" s="184">
        <v>4</v>
      </c>
      <c r="C39" s="183" t="s">
        <v>1757</v>
      </c>
      <c r="D39" s="39" t="s">
        <v>2693</v>
      </c>
      <c r="E39" s="37" t="s">
        <v>2625</v>
      </c>
      <c r="F39" s="37" t="s">
        <v>1758</v>
      </c>
      <c r="G39" s="34"/>
    </row>
    <row r="40" spans="1:7" ht="56.25">
      <c r="A40" s="358"/>
      <c r="B40" s="175">
        <v>4.01</v>
      </c>
      <c r="C40" s="183" t="s">
        <v>1757</v>
      </c>
      <c r="D40" s="39" t="s">
        <v>2695</v>
      </c>
      <c r="E40" s="37" t="s">
        <v>2644</v>
      </c>
      <c r="F40" s="37" t="s">
        <v>2649</v>
      </c>
      <c r="G40" s="34"/>
    </row>
    <row r="41" spans="1:7" ht="56.25">
      <c r="A41" s="358"/>
      <c r="B41" s="175" t="s">
        <v>2680</v>
      </c>
      <c r="C41" s="183" t="s">
        <v>1757</v>
      </c>
      <c r="D41" s="39" t="s">
        <v>2694</v>
      </c>
      <c r="E41" s="37" t="s">
        <v>2683</v>
      </c>
      <c r="F41" s="37" t="s">
        <v>2681</v>
      </c>
      <c r="G41" s="34"/>
    </row>
    <row r="42" spans="1:7" ht="56.25">
      <c r="A42" s="358"/>
      <c r="B42" s="175" t="s">
        <v>2732</v>
      </c>
      <c r="C42" s="183" t="s">
        <v>1757</v>
      </c>
      <c r="D42" s="39" t="s">
        <v>2903</v>
      </c>
      <c r="E42" s="37" t="s">
        <v>2682</v>
      </c>
      <c r="F42" s="37" t="s">
        <v>2733</v>
      </c>
      <c r="G42" s="34"/>
    </row>
    <row r="43" spans="1:7" ht="123.75">
      <c r="A43" s="358"/>
      <c r="B43" s="193">
        <v>4.0999999999999996</v>
      </c>
      <c r="C43" s="183" t="s">
        <v>2902</v>
      </c>
      <c r="D43" s="194">
        <v>42867</v>
      </c>
      <c r="E43" s="202" t="s">
        <v>2905</v>
      </c>
      <c r="F43" s="37" t="s">
        <v>2904</v>
      </c>
      <c r="G43" s="34"/>
    </row>
    <row r="44" spans="1:7" ht="78.75">
      <c r="A44" s="358"/>
      <c r="B44" s="193">
        <v>4.2</v>
      </c>
      <c r="C44" s="183" t="s">
        <v>2902</v>
      </c>
      <c r="D44" s="194">
        <v>42704</v>
      </c>
      <c r="E44" s="202" t="s">
        <v>3155</v>
      </c>
      <c r="F44" s="37" t="s">
        <v>3120</v>
      </c>
      <c r="G44" s="34"/>
    </row>
    <row r="45" spans="1:7" ht="157.5">
      <c r="A45" s="358"/>
      <c r="B45" s="241">
        <v>5</v>
      </c>
      <c r="C45" s="183" t="s">
        <v>2902</v>
      </c>
      <c r="D45" s="194">
        <v>42867</v>
      </c>
      <c r="E45" s="202" t="s">
        <v>13730</v>
      </c>
      <c r="F45" s="37" t="s">
        <v>13315</v>
      </c>
      <c r="G45" s="34"/>
    </row>
    <row r="46" spans="1:7" ht="45">
      <c r="A46" s="358"/>
      <c r="B46" s="193">
        <v>5.01</v>
      </c>
      <c r="C46" s="183" t="s">
        <v>2902</v>
      </c>
      <c r="D46" s="194">
        <v>42907</v>
      </c>
      <c r="E46" s="202" t="s">
        <v>13786</v>
      </c>
      <c r="F46" s="37" t="s">
        <v>13315</v>
      </c>
      <c r="G46" s="34"/>
    </row>
    <row r="47" spans="1:7" ht="67.5">
      <c r="A47" s="358"/>
      <c r="B47" s="193">
        <v>5.0999999999999996</v>
      </c>
      <c r="C47" s="183" t="s">
        <v>2902</v>
      </c>
      <c r="D47" s="194">
        <v>43070</v>
      </c>
      <c r="E47" s="202" t="s">
        <v>13985</v>
      </c>
      <c r="F47" s="37" t="s">
        <v>13986</v>
      </c>
      <c r="G47" s="34"/>
    </row>
    <row r="48" spans="1:7" ht="56.25">
      <c r="A48" s="358"/>
      <c r="B48" s="193">
        <v>5.1100000000000003</v>
      </c>
      <c r="C48" s="183" t="s">
        <v>14260</v>
      </c>
      <c r="D48" s="194">
        <v>43217</v>
      </c>
      <c r="E48" s="202" t="s">
        <v>14404</v>
      </c>
      <c r="F48" s="37" t="s">
        <v>14299</v>
      </c>
      <c r="G48" s="34"/>
    </row>
    <row r="49" spans="1:7" ht="56.25">
      <c r="A49" s="358"/>
      <c r="B49" s="193">
        <v>5.12</v>
      </c>
      <c r="C49" s="183" t="s">
        <v>14260</v>
      </c>
      <c r="D49" s="194">
        <v>43581</v>
      </c>
      <c r="E49" s="202" t="s">
        <v>14404</v>
      </c>
      <c r="F49" s="37" t="s">
        <v>15467</v>
      </c>
      <c r="G49" s="34"/>
    </row>
    <row r="50" spans="1:7" ht="13.5" thickBot="1">
      <c r="A50" s="359"/>
      <c r="B50" s="360" t="str">
        <f ca="1">OFFSET(L!$C$1,MATCH("General"&amp;"Cpy",L!$A:$A,0)-1,SL,,)</f>
        <v>© 2019 Responsible Minerals Initiative. All rights reserved.</v>
      </c>
      <c r="C50" s="360"/>
      <c r="D50" s="360"/>
      <c r="E50" s="360"/>
      <c r="F50" s="360"/>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zoomScalePageLayoutView="60" workbookViewId="0">
      <selection activeCell="D3" sqref="D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6"/>
      <c r="B1" s="377"/>
      <c r="C1" s="377"/>
      <c r="D1" s="378"/>
    </row>
    <row r="2" spans="1:5" ht="71.25" customHeight="1">
      <c r="A2" s="90"/>
      <c r="B2" s="171" t="str">
        <f ca="1">OFFSET(L!$C$1,MATCH("Definitions"&amp;ADDRESS(ROW(),COLUMN(),4),L!$A:$A,0)-1,SL,,)</f>
        <v>ITEM</v>
      </c>
      <c r="C2" s="171" t="str">
        <f ca="1">OFFSET(L!$C$1,MATCH("Definitions"&amp;ADDRESS(ROW(),COLUMN(),4),L!$A:$A,0)-1,SL,,)</f>
        <v>DEFINITION</v>
      </c>
      <c r="D2" s="380"/>
      <c r="E2" s="131"/>
    </row>
    <row r="3" spans="1:5" ht="63.95" customHeight="1">
      <c r="A3" s="90"/>
      <c r="B3" s="77" t="str">
        <f ca="1">OFFSET(L!$C$1,MATCH("Definitions"&amp;ADDRESS(ROW(),COLUMN(),4),L!$A:$A,0)-1,SL,,)</f>
        <v>3TG</v>
      </c>
      <c r="C3" s="77" t="str">
        <f ca="1">OFFSET(L!$C$1,MATCH("Definitions"&amp;ADDRESS(ROW(),COLUMN(),4),L!$A:$A,0)-1,SL,,)</f>
        <v>Tantalum, tin, tungsten, gold</v>
      </c>
      <c r="D3" s="380"/>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0"/>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80"/>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80"/>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80"/>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80"/>
      <c r="E8" s="132" t="s">
        <v>1443</v>
      </c>
    </row>
    <row r="9" spans="1:5" ht="45">
      <c r="A9" s="90"/>
      <c r="B9" s="77" t="str">
        <f ca="1">OFFSET(L!$C$1,MATCH("Definitions"&amp;ADDRESS(ROW(),COLUMN(),4),L!$A:$A,0)-1,SL,,)</f>
        <v>DRC</v>
      </c>
      <c r="C9" s="77" t="str">
        <f ca="1">OFFSET(L!$C$1,MATCH("Definitions"&amp;ADDRESS(ROW(),COLUMN(),4),L!$A:$A,0)-1,SL,,)</f>
        <v>Democratic Republic of Congo</v>
      </c>
      <c r="D9" s="380"/>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80"/>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80"/>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80"/>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80"/>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80"/>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80"/>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80"/>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80"/>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80"/>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80"/>
      <c r="E19" s="132"/>
    </row>
    <row r="20" spans="1:5" ht="15">
      <c r="A20" s="90"/>
      <c r="B20" s="77" t="str">
        <f ca="1">OFFSET(L!$C$1,MATCH("Definitions"&amp;ADDRESS(ROW(),COLUMN(),4),L!$A:$A,0)-1,SL,,)</f>
        <v>RBA</v>
      </c>
      <c r="C20" s="77" t="str">
        <f ca="1">OFFSET(L!$C$1,MATCH("Definitions"&amp;ADDRESS(ROW(),COLUMN(),4),L!$A:$A,0)-1,SL,,)</f>
        <v>Responsible Business Alliance (www.responsiblebusiness.org)</v>
      </c>
      <c r="D20" s="380"/>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80"/>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80"/>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80"/>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80"/>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80"/>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80"/>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80"/>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80"/>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80"/>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80"/>
      <c r="E30" s="132"/>
    </row>
    <row r="31" spans="1:5" ht="15">
      <c r="A31" s="90"/>
      <c r="B31" s="379" t="str">
        <f ca="1">OFFSET(L!$C$1,MATCH("General"&amp;"Cpy",L!$A:$A,0)-1,SL,,)</f>
        <v>© 2019 Responsible Minerals Initiative. All rights reserved.</v>
      </c>
      <c r="C31" s="379"/>
      <c r="D31" s="380"/>
      <c r="E31" s="132"/>
    </row>
    <row r="32" spans="1:5" ht="13.5" thickBot="1">
      <c r="A32" s="91"/>
      <c r="B32" s="187"/>
      <c r="C32" s="187"/>
      <c r="D32" s="381"/>
    </row>
    <row r="33" ht="13.5"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86" zoomScaleNormal="86"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16"/>
      <c r="B1" s="417"/>
      <c r="C1" s="417"/>
      <c r="D1" s="417"/>
      <c r="E1" s="417"/>
      <c r="F1" s="417"/>
      <c r="G1" s="417"/>
      <c r="H1" s="417"/>
      <c r="I1" s="417"/>
      <c r="J1" s="417"/>
      <c r="K1" s="418"/>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19" t="str">
        <f ca="1">OFFSET(L!$C$1,MATCH("Declaration"&amp;ADDRESS(ROW(),COLUMN(),4),L!$A:$A,0)-1,SL,,)</f>
        <v>Conflict Minerals Reporting Template (CMRT)</v>
      </c>
      <c r="E2" s="420"/>
      <c r="F2" s="420"/>
      <c r="G2" s="420"/>
      <c r="H2" s="420"/>
      <c r="I2" s="420"/>
      <c r="J2" s="421"/>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29"/>
      <c r="G3" s="429"/>
      <c r="H3" s="429"/>
      <c r="I3" s="186"/>
      <c r="J3" s="172" t="s">
        <v>15472</v>
      </c>
      <c r="K3" s="47"/>
      <c r="L3" s="143"/>
      <c r="M3" s="134"/>
      <c r="N3" s="134"/>
      <c r="O3" s="135"/>
      <c r="P3" s="148">
        <f>MATCH($D$3,LN,0)</f>
        <v>1</v>
      </c>
    </row>
    <row r="4" spans="1:34" ht="15.75">
      <c r="A4" s="45"/>
      <c r="B4" s="425" t="str">
        <f ca="1">OFFSET(L!$C$1,MATCH("Declaration"&amp;ADDRESS(ROW(),COLUMN(),4),L!$A:$A,0)-1,SL,,)</f>
        <v>The purpose of this document is to collect sourcing information on tin, tantalum, tungsten and gold used in products</v>
      </c>
      <c r="C4" s="425"/>
      <c r="D4" s="425"/>
      <c r="E4" s="425"/>
      <c r="F4" s="425"/>
      <c r="G4" s="425"/>
      <c r="H4" s="425"/>
      <c r="I4" s="430" t="str">
        <f ca="1">OFFSET(L!$C$1,MATCH("Declaration"&amp;ADDRESS(ROW(),COLUMN(),4),L!$A:$A,0)-1,SL,,)</f>
        <v>Link to Terms &amp; Conditions</v>
      </c>
      <c r="J4" s="430"/>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25" t="str">
        <f ca="1">OFFSET(L!$C$1,MATCH("Declaration"&amp;ADDRESS(ROW(),COLUMN(),4),L!$A:$A,0)-1,SL,,)</f>
        <v>Mandatory fields are noted with an asterisk (*).  Consult the instructions tab for guidance on how to answer each question.</v>
      </c>
      <c r="C6" s="425"/>
      <c r="D6" s="425"/>
      <c r="E6" s="425"/>
      <c r="F6" s="425"/>
      <c r="G6" s="425"/>
      <c r="H6" s="425"/>
      <c r="I6" s="425"/>
      <c r="J6" s="425"/>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34" t="str">
        <f ca="1">OFFSET(L!$C$1,MATCH("Declaration"&amp;ADDRESS(ROW(),COLUMN(),4),L!$A:$A,0)-1,SL,,)</f>
        <v>Company Information</v>
      </c>
      <c r="C7" s="434"/>
      <c r="D7" s="434"/>
      <c r="E7" s="434"/>
      <c r="F7" s="434"/>
      <c r="G7" s="434"/>
      <c r="H7" s="434"/>
      <c r="I7" s="434"/>
      <c r="J7" s="434"/>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22" t="s">
        <v>15494</v>
      </c>
      <c r="E8" s="423"/>
      <c r="F8" s="423"/>
      <c r="G8" s="423"/>
      <c r="H8" s="423"/>
      <c r="I8" s="423"/>
      <c r="J8" s="424"/>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31" t="s">
        <v>564</v>
      </c>
      <c r="E9" s="432"/>
      <c r="F9" s="432"/>
      <c r="G9" s="433"/>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35" t="str">
        <f ca="1">OFFSET(L!$C$1,MATCH("Declaration"&amp;ADDRESS(ROW(),COLUMN(),4)&amp;LEFT($D$9,1),L!$A:$A,0)-1,SL,,)</f>
        <v>Description of Scope:</v>
      </c>
      <c r="C10" s="155"/>
      <c r="D10" s="426" t="s">
        <v>15495</v>
      </c>
      <c r="E10" s="427"/>
      <c r="F10" s="427"/>
      <c r="G10" s="427"/>
      <c r="H10" s="427"/>
      <c r="I10" s="427"/>
      <c r="J10" s="428"/>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36"/>
      <c r="C11" s="155"/>
      <c r="D11" s="397" t="str">
        <f ca="1">IF(D9=Q9,OFFSET(L!$C$1,MATCH("Declaration"&amp;ADDRESS(ROW(),COLUMN(),4),L!$A:$A,0)-1,SL,,),"")</f>
        <v/>
      </c>
      <c r="E11" s="398"/>
      <c r="F11" s="398"/>
      <c r="G11" s="398"/>
      <c r="H11" s="398"/>
      <c r="I11" s="398"/>
      <c r="J11" s="399"/>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406" t="s">
        <v>15496</v>
      </c>
      <c r="E12" s="407"/>
      <c r="F12" s="407"/>
      <c r="G12" s="407"/>
      <c r="H12" s="407"/>
      <c r="I12" s="407"/>
      <c r="J12" s="408"/>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406" t="s">
        <v>15496</v>
      </c>
      <c r="E13" s="407"/>
      <c r="F13" s="407"/>
      <c r="G13" s="407"/>
      <c r="H13" s="407"/>
      <c r="I13" s="407"/>
      <c r="J13" s="408"/>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406" t="s">
        <v>15497</v>
      </c>
      <c r="E14" s="407"/>
      <c r="F14" s="407"/>
      <c r="G14" s="407"/>
      <c r="H14" s="407"/>
      <c r="I14" s="407"/>
      <c r="J14" s="408"/>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409" t="s">
        <v>15498</v>
      </c>
      <c r="E15" s="410"/>
      <c r="F15" s="410"/>
      <c r="G15" s="410"/>
      <c r="H15" s="410"/>
      <c r="I15" s="410"/>
      <c r="J15" s="411"/>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37" t="s">
        <v>15499</v>
      </c>
      <c r="E16" s="438"/>
      <c r="F16" s="438"/>
      <c r="G16" s="438"/>
      <c r="H16" s="438"/>
      <c r="I16" s="438"/>
      <c r="J16" s="439"/>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409" t="s">
        <v>15500</v>
      </c>
      <c r="E17" s="410"/>
      <c r="F17" s="410"/>
      <c r="G17" s="410"/>
      <c r="H17" s="410"/>
      <c r="I17" s="410"/>
      <c r="J17" s="411"/>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409" t="s">
        <v>15501</v>
      </c>
      <c r="E18" s="410"/>
      <c r="F18" s="410"/>
      <c r="G18" s="410"/>
      <c r="H18" s="410"/>
      <c r="I18" s="410"/>
      <c r="J18" s="411"/>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409" t="s">
        <v>15502</v>
      </c>
      <c r="E19" s="410"/>
      <c r="F19" s="410"/>
      <c r="G19" s="410"/>
      <c r="H19" s="410"/>
      <c r="I19" s="410"/>
      <c r="J19" s="411"/>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37" t="s">
        <v>15499</v>
      </c>
      <c r="E20" s="438"/>
      <c r="F20" s="438"/>
      <c r="G20" s="438"/>
      <c r="H20" s="438"/>
      <c r="I20" s="438"/>
      <c r="J20" s="439"/>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409" t="s">
        <v>15500</v>
      </c>
      <c r="E21" s="410"/>
      <c r="F21" s="410"/>
      <c r="G21" s="410"/>
      <c r="H21" s="410"/>
      <c r="I21" s="410"/>
      <c r="J21" s="411"/>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440">
        <v>43795</v>
      </c>
      <c r="E22" s="441"/>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12"/>
      <c r="E23" s="412"/>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42" t="str">
        <f ca="1">OFFSET(L!$C$1,MATCH("Declaration"&amp;ADDRESS(ROW(),COLUMN(),4),L!$A:$A,0)-1,SL,,)</f>
        <v>Answer the following questions 1 - 7 based on the declaration scope indicated above</v>
      </c>
      <c r="C24" s="442"/>
      <c r="D24" s="442"/>
      <c r="E24" s="442"/>
      <c r="F24" s="442"/>
      <c r="G24" s="442"/>
      <c r="H24" s="442"/>
      <c r="I24" s="442"/>
      <c r="J24" s="442"/>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6" t="str">
        <f ca="1">OFFSET(L!$C$1,MATCH("Declaration"&amp;ADDRESS(ROW(),COLUMN(),4),L!$A:$A,0)-1,SL,,)</f>
        <v>Answer</v>
      </c>
      <c r="E25" s="396"/>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2" t="s">
        <v>559</v>
      </c>
      <c r="E26" s="383"/>
      <c r="F26" s="15"/>
      <c r="G26" s="384"/>
      <c r="H26" s="385"/>
      <c r="I26" s="385"/>
      <c r="J26" s="386"/>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2" t="s">
        <v>558</v>
      </c>
      <c r="E27" s="383"/>
      <c r="F27" s="15"/>
      <c r="G27" s="384"/>
      <c r="H27" s="385"/>
      <c r="I27" s="385"/>
      <c r="J27" s="386"/>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2" t="s">
        <v>558</v>
      </c>
      <c r="E28" s="383"/>
      <c r="F28" s="15"/>
      <c r="G28" s="384"/>
      <c r="H28" s="385"/>
      <c r="I28" s="385"/>
      <c r="J28" s="386"/>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2" t="s">
        <v>559</v>
      </c>
      <c r="E29" s="383"/>
      <c r="F29" s="15"/>
      <c r="G29" s="384"/>
      <c r="H29" s="385"/>
      <c r="I29" s="385"/>
      <c r="J29" s="386"/>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402" t="str">
        <f ca="1">D25</f>
        <v>Answer</v>
      </c>
      <c r="E31" s="402"/>
      <c r="F31" s="21"/>
      <c r="G31" s="55" t="str">
        <f ca="1">G25</f>
        <v>Comments</v>
      </c>
      <c r="H31" s="55"/>
      <c r="I31" s="55"/>
      <c r="J31" s="99"/>
      <c r="K31" s="47"/>
      <c r="L31" s="140" t="s">
        <v>1369</v>
      </c>
      <c r="M31" s="134"/>
      <c r="N31" s="134"/>
      <c r="O31" s="135"/>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0"/>
      <c r="E32" s="401"/>
      <c r="F32" s="58"/>
      <c r="G32" s="384"/>
      <c r="H32" s="385"/>
      <c r="I32" s="385"/>
      <c r="J32" s="386"/>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2" t="s">
        <v>558</v>
      </c>
      <c r="E33" s="383"/>
      <c r="F33" s="58"/>
      <c r="G33" s="384"/>
      <c r="H33" s="385"/>
      <c r="I33" s="385"/>
      <c r="J33" s="386"/>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2" t="s">
        <v>558</v>
      </c>
      <c r="E34" s="383"/>
      <c r="F34" s="58"/>
      <c r="G34" s="384"/>
      <c r="H34" s="385"/>
      <c r="I34" s="385"/>
      <c r="J34" s="386"/>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2"/>
      <c r="E35" s="383"/>
      <c r="F35" s="58"/>
      <c r="G35" s="384"/>
      <c r="H35" s="385"/>
      <c r="I35" s="385"/>
      <c r="J35" s="386"/>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402" t="str">
        <f ca="1">D25</f>
        <v>Answer</v>
      </c>
      <c r="E37" s="402"/>
      <c r="F37" s="21"/>
      <c r="G37" s="55" t="str">
        <f ca="1">G25</f>
        <v>Comments</v>
      </c>
      <c r="H37" s="405"/>
      <c r="I37" s="405"/>
      <c r="J37" s="405"/>
      <c r="K37" s="47"/>
      <c r="L37" s="140" t="s">
        <v>1369</v>
      </c>
      <c r="M37" s="134"/>
      <c r="N37" s="134"/>
      <c r="O37" s="135"/>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2"/>
      <c r="E38" s="383"/>
      <c r="F38" s="58"/>
      <c r="G38" s="384"/>
      <c r="H38" s="385"/>
      <c r="I38" s="385"/>
      <c r="J38" s="386"/>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2" t="s">
        <v>559</v>
      </c>
      <c r="E39" s="383"/>
      <c r="F39" s="58"/>
      <c r="G39" s="384"/>
      <c r="H39" s="385"/>
      <c r="I39" s="385"/>
      <c r="J39" s="386"/>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2" t="s">
        <v>559</v>
      </c>
      <c r="E40" s="383"/>
      <c r="F40" s="58"/>
      <c r="G40" s="384"/>
      <c r="H40" s="385"/>
      <c r="I40" s="385"/>
      <c r="J40" s="386"/>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2"/>
      <c r="E41" s="383"/>
      <c r="F41" s="58"/>
      <c r="G41" s="384"/>
      <c r="H41" s="385"/>
      <c r="I41" s="385"/>
      <c r="J41" s="386"/>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402" t="str">
        <f ca="1">D25</f>
        <v>Answer</v>
      </c>
      <c r="E43" s="402"/>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 xml:space="preserve">Tantalum  </v>
      </c>
      <c r="C44" s="13"/>
      <c r="D44" s="382"/>
      <c r="E44" s="383"/>
      <c r="F44" s="58"/>
      <c r="G44" s="384"/>
      <c r="H44" s="385"/>
      <c r="I44" s="385"/>
      <c r="J44" s="386"/>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82" t="s">
        <v>559</v>
      </c>
      <c r="E45" s="383"/>
      <c r="F45" s="58"/>
      <c r="G45" s="384"/>
      <c r="H45" s="385"/>
      <c r="I45" s="385"/>
      <c r="J45" s="386"/>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Gold  (*)</v>
      </c>
      <c r="C46" s="13"/>
      <c r="D46" s="382" t="s">
        <v>559</v>
      </c>
      <c r="E46" s="383"/>
      <c r="F46" s="58"/>
      <c r="G46" s="384"/>
      <c r="H46" s="385"/>
      <c r="I46" s="385"/>
      <c r="J46" s="386"/>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 xml:space="preserve">Tungsten  </v>
      </c>
      <c r="C47" s="13"/>
      <c r="D47" s="382"/>
      <c r="E47" s="383"/>
      <c r="F47" s="58"/>
      <c r="G47" s="384"/>
      <c r="H47" s="385"/>
      <c r="I47" s="385"/>
      <c r="J47" s="386"/>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402" t="str">
        <f ca="1">D25</f>
        <v>Answer</v>
      </c>
      <c r="E49" s="402"/>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46"/>
      <c r="D50" s="403"/>
      <c r="E50" s="404"/>
      <c r="F50" s="58"/>
      <c r="G50" s="384"/>
      <c r="H50" s="385"/>
      <c r="I50" s="385"/>
      <c r="J50" s="386"/>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403">
        <v>1</v>
      </c>
      <c r="E51" s="404"/>
      <c r="F51" s="58"/>
      <c r="G51" s="384"/>
      <c r="H51" s="385"/>
      <c r="I51" s="385"/>
      <c r="J51" s="386"/>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46"/>
      <c r="D52" s="403">
        <v>1</v>
      </c>
      <c r="E52" s="404"/>
      <c r="F52" s="58"/>
      <c r="G52" s="384"/>
      <c r="H52" s="385"/>
      <c r="I52" s="385"/>
      <c r="J52" s="386"/>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46"/>
      <c r="D53" s="403"/>
      <c r="E53" s="404"/>
      <c r="F53" s="58"/>
      <c r="G53" s="384"/>
      <c r="H53" s="385"/>
      <c r="I53" s="385"/>
      <c r="J53" s="386"/>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402" t="str">
        <f ca="1">D25</f>
        <v>Answer</v>
      </c>
      <c r="E55" s="402"/>
      <c r="F55" s="21"/>
      <c r="G55" s="55" t="str">
        <f ca="1">G25</f>
        <v>Comments</v>
      </c>
      <c r="H55" s="395"/>
      <c r="I55" s="395"/>
      <c r="J55" s="395"/>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13"/>
      <c r="D56" s="400"/>
      <c r="E56" s="401"/>
      <c r="F56" s="58"/>
      <c r="G56" s="384"/>
      <c r="H56" s="385"/>
      <c r="I56" s="385"/>
      <c r="J56" s="386"/>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82" t="s">
        <v>558</v>
      </c>
      <c r="E57" s="383"/>
      <c r="F57" s="58"/>
      <c r="G57" s="384"/>
      <c r="H57" s="385"/>
      <c r="I57" s="385"/>
      <c r="J57" s="386"/>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13"/>
      <c r="D58" s="382" t="s">
        <v>558</v>
      </c>
      <c r="E58" s="383"/>
      <c r="F58" s="58"/>
      <c r="G58" s="384"/>
      <c r="H58" s="385"/>
      <c r="I58" s="385"/>
      <c r="J58" s="386"/>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13"/>
      <c r="D59" s="382"/>
      <c r="E59" s="383"/>
      <c r="F59" s="58"/>
      <c r="G59" s="384"/>
      <c r="H59" s="385"/>
      <c r="I59" s="385"/>
      <c r="J59" s="386"/>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402" t="str">
        <f ca="1">D25</f>
        <v>Answer</v>
      </c>
      <c r="E61" s="402"/>
      <c r="F61" s="21"/>
      <c r="G61" s="55" t="str">
        <f ca="1">G25</f>
        <v>Comments</v>
      </c>
      <c r="H61" s="395" t="str">
        <f>IF(Q69="(*)","Click here to enter smelter names","")</f>
        <v/>
      </c>
      <c r="I61" s="395"/>
      <c r="J61" s="395"/>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46"/>
      <c r="D62" s="382"/>
      <c r="E62" s="383"/>
      <c r="F62" s="59"/>
      <c r="G62" s="384"/>
      <c r="H62" s="385"/>
      <c r="I62" s="385"/>
      <c r="J62" s="386"/>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82" t="s">
        <v>558</v>
      </c>
      <c r="E63" s="383"/>
      <c r="F63" s="59"/>
      <c r="G63" s="384"/>
      <c r="H63" s="385"/>
      <c r="I63" s="385"/>
      <c r="J63" s="386"/>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46"/>
      <c r="D64" s="382" t="s">
        <v>558</v>
      </c>
      <c r="E64" s="383"/>
      <c r="F64" s="59"/>
      <c r="G64" s="384"/>
      <c r="H64" s="385"/>
      <c r="I64" s="385"/>
      <c r="J64" s="386"/>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 xml:space="preserve">Tungsten  </v>
      </c>
      <c r="C65" s="60"/>
      <c r="D65" s="382"/>
      <c r="E65" s="383"/>
      <c r="F65" s="61"/>
      <c r="G65" s="384"/>
      <c r="H65" s="385"/>
      <c r="I65" s="385"/>
      <c r="J65" s="386"/>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387" t="str">
        <f ca="1">OFFSET(L!$C$1,MATCH("Declaration"&amp;ADDRESS(ROW(),COLUMN(),4),L!$A:$A,0)-1,SL,,)</f>
        <v>Answer the Following Questions at a Company Level</v>
      </c>
      <c r="C67" s="387"/>
      <c r="D67" s="387"/>
      <c r="E67" s="387"/>
      <c r="F67" s="387"/>
      <c r="G67" s="387"/>
      <c r="H67" s="387"/>
      <c r="I67" s="387"/>
      <c r="J67" s="387"/>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396" t="str">
        <f ca="1">D25</f>
        <v>Answer</v>
      </c>
      <c r="E68" s="396"/>
      <c r="F68" s="64"/>
      <c r="G68" s="396" t="str">
        <f ca="1">G25</f>
        <v>Comments</v>
      </c>
      <c r="H68" s="396" t="e">
        <f>HLOOKUP(SL,LT,$O68,0)</f>
        <v>#NAME?</v>
      </c>
      <c r="I68" s="396"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82" t="s">
        <v>558</v>
      </c>
      <c r="E69" s="383"/>
      <c r="F69" s="68"/>
      <c r="G69" s="384"/>
      <c r="H69" s="385"/>
      <c r="I69" s="385"/>
      <c r="J69" s="386"/>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393"/>
      <c r="H70" s="393"/>
      <c r="I70" s="393"/>
      <c r="J70" s="393"/>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82" t="s">
        <v>558</v>
      </c>
      <c r="E71" s="383"/>
      <c r="F71" s="68"/>
      <c r="G71" s="413" t="s">
        <v>15503</v>
      </c>
      <c r="H71" s="414"/>
      <c r="I71" s="414"/>
      <c r="J71" s="415"/>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82" t="s">
        <v>558</v>
      </c>
      <c r="E73" s="383"/>
      <c r="F73" s="68"/>
      <c r="G73" s="384"/>
      <c r="H73" s="385"/>
      <c r="I73" s="385"/>
      <c r="J73" s="386"/>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82" t="s">
        <v>559</v>
      </c>
      <c r="E75" s="383"/>
      <c r="F75" s="68"/>
      <c r="G75" s="384"/>
      <c r="H75" s="385"/>
      <c r="I75" s="385"/>
      <c r="J75" s="386"/>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82" t="s">
        <v>558</v>
      </c>
      <c r="E77" s="383"/>
      <c r="F77" s="68"/>
      <c r="G77" s="384"/>
      <c r="H77" s="385"/>
      <c r="I77" s="385"/>
      <c r="J77" s="386"/>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391" t="s">
        <v>13268</v>
      </c>
      <c r="E79" s="392"/>
      <c r="F79" s="68"/>
      <c r="G79" s="384" t="s">
        <v>15504</v>
      </c>
      <c r="H79" s="385"/>
      <c r="I79" s="385"/>
      <c r="J79" s="386"/>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393"/>
      <c r="H80" s="393"/>
      <c r="I80" s="393"/>
      <c r="J80" s="393"/>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82" t="s">
        <v>558</v>
      </c>
      <c r="E81" s="383"/>
      <c r="F81" s="68"/>
      <c r="G81" s="384"/>
      <c r="H81" s="385"/>
      <c r="I81" s="385"/>
      <c r="J81" s="386"/>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394"/>
      <c r="H82" s="394"/>
      <c r="I82" s="394"/>
      <c r="J82" s="394"/>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82" t="s">
        <v>558</v>
      </c>
      <c r="E83" s="383"/>
      <c r="F83" s="68"/>
      <c r="G83" s="384"/>
      <c r="H83" s="385"/>
      <c r="I83" s="385"/>
      <c r="J83" s="386"/>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82" t="s">
        <v>558</v>
      </c>
      <c r="E85" s="383"/>
      <c r="F85" s="68"/>
      <c r="G85" s="384"/>
      <c r="H85" s="385"/>
      <c r="I85" s="385"/>
      <c r="J85" s="386"/>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390" t="str">
        <f>IF(OR($D$8="",$I$3=""),"","Click here to check required fields completion")</f>
        <v/>
      </c>
      <c r="C86" s="390"/>
      <c r="D86" s="390"/>
      <c r="E86" s="390"/>
      <c r="F86" s="390"/>
      <c r="G86" s="390"/>
      <c r="H86" s="390"/>
      <c r="I86" s="390"/>
      <c r="J86" s="390"/>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388" t="str">
        <f ca="1">OFFSET(L!$C$1,MATCH("General"&amp;"Cpy",L!$A:$A,0)-1,SL,,)</f>
        <v>© 2019 Responsible Minerals Initiative. All rights reserved.</v>
      </c>
      <c r="B87" s="389"/>
      <c r="C87" s="389"/>
      <c r="D87" s="389"/>
      <c r="E87" s="389"/>
      <c r="F87" s="389"/>
      <c r="G87" s="389"/>
      <c r="H87" s="389"/>
      <c r="I87" s="389"/>
      <c r="J87" s="389"/>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182" priority="53" stopIfTrue="1">
      <formula>AND(OR($D$26="No",AND($D$26="Yes",$D$32="No")),OR($D$27="No",AND($D$27="Yes",$D$33="No")), OR($D$28="No",AND($D$28="Yes",$D$34="No")), OR($D$29="No",AND($D$29="Yes",$D$35="No")))</formula>
    </cfRule>
    <cfRule type="expression" dxfId="181" priority="54" stopIfTrue="1">
      <formula>IF(D69="",TRUE)</formula>
    </cfRule>
  </conditionalFormatting>
  <conditionalFormatting sqref="G71:J71">
    <cfRule type="expression" dxfId="180" priority="25" stopIfTrue="1">
      <formula>IF(AND($D$71="Yes",$G$71=""),TRUE)</formula>
    </cfRule>
  </conditionalFormatting>
  <conditionalFormatting sqref="D26:E26">
    <cfRule type="expression" dxfId="179" priority="105" stopIfTrue="1">
      <formula>IF($D$26="",TRUE)</formula>
    </cfRule>
  </conditionalFormatting>
  <conditionalFormatting sqref="D27:E27">
    <cfRule type="expression" dxfId="178" priority="112" stopIfTrue="1">
      <formula>IF($D$27="",TRUE)</formula>
    </cfRule>
  </conditionalFormatting>
  <conditionalFormatting sqref="D28:E28">
    <cfRule type="expression" dxfId="177" priority="113" stopIfTrue="1">
      <formula>IF($D$28="",TRUE)</formula>
    </cfRule>
  </conditionalFormatting>
  <conditionalFormatting sqref="D29:E29">
    <cfRule type="expression" dxfId="176" priority="114" stopIfTrue="1">
      <formula>IF($D$29="",TRUE)</formula>
    </cfRule>
  </conditionalFormatting>
  <conditionalFormatting sqref="D8:J8">
    <cfRule type="expression" dxfId="175" priority="119" stopIfTrue="1">
      <formula>IF($D$8="",TRUE)</formula>
    </cfRule>
  </conditionalFormatting>
  <conditionalFormatting sqref="D9:G9">
    <cfRule type="expression" dxfId="174" priority="120" stopIfTrue="1">
      <formula>IF($D$9="",TRUE)</formula>
    </cfRule>
  </conditionalFormatting>
  <conditionalFormatting sqref="D15:J15">
    <cfRule type="expression" dxfId="173" priority="121" stopIfTrue="1">
      <formula>IF($D$15="",TRUE)</formula>
    </cfRule>
  </conditionalFormatting>
  <conditionalFormatting sqref="D16:J16">
    <cfRule type="expression" dxfId="172" priority="122" stopIfTrue="1">
      <formula>IF($D$16="",TRUE)</formula>
    </cfRule>
  </conditionalFormatting>
  <conditionalFormatting sqref="D17:J17">
    <cfRule type="expression" dxfId="171" priority="123" stopIfTrue="1">
      <formula>IF($D$17="",TRUE)</formula>
    </cfRule>
  </conditionalFormatting>
  <conditionalFormatting sqref="D18:J18">
    <cfRule type="expression" dxfId="170" priority="124" stopIfTrue="1">
      <formula>IF($D$18="",TRUE)</formula>
    </cfRule>
  </conditionalFormatting>
  <conditionalFormatting sqref="D22:E22">
    <cfRule type="expression" dxfId="169" priority="127" stopIfTrue="1">
      <formula>IF($D$22="",TRUE)</formula>
    </cfRule>
  </conditionalFormatting>
  <conditionalFormatting sqref="D10:J10">
    <cfRule type="expression" dxfId="168" priority="24" stopIfTrue="1">
      <formula>IF($D$9=$Q$9,TRUE)</formula>
    </cfRule>
    <cfRule type="expression" dxfId="167" priority="134" stopIfTrue="1">
      <formula>IF(AND($D$10="",$D$9=$R$9),TRUE)</formula>
    </cfRule>
  </conditionalFormatting>
  <conditionalFormatting sqref="D34:E34 D40:E40 D46:E46 D52:E52 D58:E58 D64:E64">
    <cfRule type="expression" dxfId="166" priority="17" stopIfTrue="1">
      <formula>$P$28=""</formula>
    </cfRule>
  </conditionalFormatting>
  <conditionalFormatting sqref="D35:E35 D41:E41 D47:E47 D53:E53 D59:E59 D65:E65">
    <cfRule type="expression" dxfId="165" priority="132" stopIfTrue="1">
      <formula>$P$29=""</formula>
    </cfRule>
  </conditionalFormatting>
  <conditionalFormatting sqref="D32:E32">
    <cfRule type="expression" dxfId="164" priority="110" stopIfTrue="1">
      <formula>$P$26=""</formula>
    </cfRule>
  </conditionalFormatting>
  <conditionalFormatting sqref="D32:E32">
    <cfRule type="expression" dxfId="163" priority="23" stopIfTrue="1">
      <formula>IF(AND(OR($D$26="Yes",$D$26=""),$D$32=""),1,0)</formula>
    </cfRule>
  </conditionalFormatting>
  <conditionalFormatting sqref="D38 D44 D50 D56 D62">
    <cfRule type="expression" dxfId="162" priority="19" stopIfTrue="1">
      <formula>$P$32=""</formula>
    </cfRule>
  </conditionalFormatting>
  <conditionalFormatting sqref="D39:E39 D45 D51 D57 D63">
    <cfRule type="expression" dxfId="161" priority="18" stopIfTrue="1">
      <formula>$P$33=""</formula>
    </cfRule>
  </conditionalFormatting>
  <conditionalFormatting sqref="D40 D46 D52 D58 D64">
    <cfRule type="expression" dxfId="160" priority="8" stopIfTrue="1">
      <formula>$P$34=""</formula>
    </cfRule>
    <cfRule type="expression" dxfId="159" priority="130" stopIfTrue="1">
      <formula>IF(AND(OR($D$28="Yes",$D$28=""),D40=""),1,0)</formula>
    </cfRule>
  </conditionalFormatting>
  <conditionalFormatting sqref="D41 D47 D53 D59 D65">
    <cfRule type="expression" dxfId="158" priority="16" stopIfTrue="1">
      <formula>$P$35=""</formula>
    </cfRule>
  </conditionalFormatting>
  <conditionalFormatting sqref="D38:E38 D44:E44 D50:E50 D56:E56 D62:E62">
    <cfRule type="expression" dxfId="157" priority="21" stopIfTrue="1">
      <formula>$P$26=""</formula>
    </cfRule>
    <cfRule type="expression" dxfId="156" priority="22" stopIfTrue="1">
      <formula>IF(AND(OR($D$26="Yes",$D$26=""),D38=""),1,0)</formula>
    </cfRule>
  </conditionalFormatting>
  <conditionalFormatting sqref="G79:J79">
    <cfRule type="expression" dxfId="155" priority="15" stopIfTrue="1">
      <formula>IF(AND($D$79="Yes, using other format (describe)",$G$79=""),TRUE)</formula>
    </cfRule>
  </conditionalFormatting>
  <conditionalFormatting sqref="D39:E39 D45:E45 D51:E51 D57:E57 D63:E63">
    <cfRule type="expression" dxfId="154" priority="128" stopIfTrue="1">
      <formula>$P$39=""</formula>
    </cfRule>
    <cfRule type="expression" dxfId="153" priority="129" stopIfTrue="1">
      <formula>IF(AND(OR($D$27="Yes",$D$27=""),D39=""),1,0)</formula>
    </cfRule>
  </conditionalFormatting>
  <conditionalFormatting sqref="D33:E33">
    <cfRule type="expression" dxfId="152" priority="10" stopIfTrue="1">
      <formula>IF(AND(OR($D$27="Yes",$D$27=""),$D$33=""),1,0)</formula>
    </cfRule>
    <cfRule type="expression" dxfId="151" priority="11" stopIfTrue="1">
      <formula>$P$27=""</formula>
    </cfRule>
  </conditionalFormatting>
  <conditionalFormatting sqref="D34:E34">
    <cfRule type="expression" dxfId="150" priority="131" stopIfTrue="1">
      <formula>IF(AND(OR($D$28="Yes",$D$28=""),$D$34=""),1,0)</formula>
    </cfRule>
  </conditionalFormatting>
  <conditionalFormatting sqref="D41:E41 D47:E47 D53:E53 D59:E59 D65:E65">
    <cfRule type="expression" dxfId="149" priority="133" stopIfTrue="1">
      <formula>IF(AND(OR($D$29="Yes",$D$29=""),D41=""),1,0)</formula>
    </cfRule>
  </conditionalFormatting>
  <conditionalFormatting sqref="D35:E35">
    <cfRule type="expression" dxfId="148" priority="7" stopIfTrue="1">
      <formula>IF(AND(OR($D$29="Yes",$D$29=""),$D$35=""),1,0)</formula>
    </cfRule>
  </conditionalFormatting>
  <conditionalFormatting sqref="D20:J20">
    <cfRule type="expression" dxfId="147" priority="3" stopIfTrue="1">
      <formula>IF($D$20="",TRUE)</formula>
    </cfRule>
  </conditionalFormatting>
  <conditionalFormatting sqref="D21:J21">
    <cfRule type="expression" dxfId="146" priority="4" stopIfTrue="1">
      <formula>IF($D$21="",TRUE)</formula>
    </cfRule>
  </conditionalFormatting>
  <conditionalFormatting sqref="D21:J21">
    <cfRule type="expression" dxfId="145" priority="2" stopIfTrue="1">
      <formula>IF($D$17="",TRUE)</formula>
    </cfRule>
  </conditionalFormatting>
  <conditionalFormatting sqref="G71:J71">
    <cfRule type="expression" dxfId="144" priority="1" stopIfTrue="1">
      <formula>IF(AND($D$71="Yes",$G$71=""),TRUE)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00000000-0004-0000-0300-000004000000}"/>
    <hyperlink ref="D20" r:id="rId4" xr:uid="{00000000-0004-0000-0300-000005000000}"/>
    <hyperlink ref="G71" r:id="rId5" xr:uid="{00000000-0004-0000-0300-000006000000}"/>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zoomScaleNormal="100" zoomScalePageLayoutView="55" workbookViewId="0">
      <selection activeCell="E13" sqref="E13"/>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43" t="str">
        <f ca="1">OFFSET(L!$C$1,MATCH("Smelter List"&amp;ADDRESS(ROW(),COLUMN(),4),L!$A:$A,0)-1,SL,,)</f>
        <v>Link to "RMAP Conformant Smelter List"</v>
      </c>
      <c r="K2" s="444"/>
      <c r="L2" s="444"/>
      <c r="M2" s="444"/>
      <c r="N2" s="444"/>
      <c r="O2" s="444"/>
      <c r="P2" s="232"/>
      <c r="Q2" s="233"/>
      <c r="R2" s="234"/>
      <c r="S2" s="234"/>
      <c r="T2" s="234"/>
      <c r="U2" s="261"/>
      <c r="V2" s="261"/>
      <c r="W2" s="262"/>
      <c r="X2" s="261"/>
      <c r="Y2" s="261"/>
      <c r="Z2" s="261"/>
      <c r="AH2" s="178" t="s">
        <v>558</v>
      </c>
    </row>
    <row r="3" spans="1:34" s="263" customFormat="1" ht="255.6" customHeight="1">
      <c r="A3" s="204"/>
      <c r="B3" s="44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5"/>
      <c r="D3" s="445"/>
      <c r="E3" s="445"/>
      <c r="F3" s="264"/>
      <c r="G3" s="446" t="str">
        <f ca="1">OFFSET(L!$C$1,MATCH("General"&amp;"Cpy",L!$A:$A,0)-1,SL,,)</f>
        <v>© 2019 Responsible Minerals Initiative. All rights reserved.</v>
      </c>
      <c r="H3" s="446"/>
      <c r="I3" s="447"/>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30.75" customHeight="1">
      <c r="A5" s="347" t="s">
        <v>15505</v>
      </c>
      <c r="B5" s="347" t="s">
        <v>1250</v>
      </c>
      <c r="C5" s="348" t="s">
        <v>1898</v>
      </c>
      <c r="D5" s="347" t="s">
        <v>15511</v>
      </c>
      <c r="E5" s="347" t="s">
        <v>1220</v>
      </c>
      <c r="F5" s="347" t="s">
        <v>15512</v>
      </c>
      <c r="G5" s="347"/>
      <c r="H5" s="217"/>
      <c r="I5" s="218"/>
      <c r="J5" s="218"/>
      <c r="K5" s="267"/>
      <c r="L5" s="267"/>
      <c r="M5" s="267"/>
      <c r="N5" s="267"/>
      <c r="O5" s="267"/>
      <c r="P5" s="219"/>
      <c r="Q5" s="268"/>
      <c r="R5" s="216" t="str">
        <f ca="1">IF(ISERROR($V5),"",OFFSET('Smelter Look-up'!$C$4,$V5-4,0)&amp;"")</f>
        <v>Shandong Zhaojin Gold &amp; Silver Refinery Co., Ltd.</v>
      </c>
      <c r="S5" s="224" t="str">
        <f t="shared" ref="S5:S68" ca="1" si="0">IF(B5="","",IF(ISERROR(MATCH($E5,CL,0)),"Unknown",INDIRECT("'C'!$A$"&amp;MATCH($E5,CL,0)+1)))</f>
        <v>CN</v>
      </c>
      <c r="T5" s="224" t="str">
        <f ca="1">IF(B5="","",IF(ISERROR(MATCH($J5,SorP!$B$1:$B$6230,0)),"",INDIRECT("'SorP'!$A$"&amp;MATCH($J5,SorP!$B$1:$B$6230,0))))</f>
        <v/>
      </c>
      <c r="U5" s="239"/>
      <c r="V5" s="269">
        <f>IF(C5="",NA(),MATCH($B5&amp;$C5,'Smelter Look-up'!$J:$J,0))</f>
        <v>277</v>
      </c>
      <c r="W5" s="270"/>
      <c r="X5" s="270">
        <f t="shared" ref="X5:X68" si="1">IF(AND(C5="Smelter not listed",OR(LEN(D5)=0,LEN(E5)=0)),1,0)</f>
        <v>0</v>
      </c>
      <c r="Y5" s="270"/>
      <c r="Z5" s="270"/>
      <c r="AB5" s="272" t="str">
        <f t="shared" ref="AB5:AB68" si="2">B5&amp;C5</f>
        <v>GoldZhaojin Mining Industry Co., Ltd.</v>
      </c>
    </row>
    <row r="6" spans="1:34" s="271" customFormat="1" ht="31.5" customHeight="1">
      <c r="A6" s="347" t="s">
        <v>15513</v>
      </c>
      <c r="B6" s="347" t="s">
        <v>1251</v>
      </c>
      <c r="C6" s="348" t="s">
        <v>55</v>
      </c>
      <c r="D6" s="347" t="s">
        <v>15514</v>
      </c>
      <c r="E6" s="347" t="s">
        <v>1220</v>
      </c>
      <c r="F6" s="347" t="s">
        <v>15515</v>
      </c>
      <c r="G6" s="347"/>
      <c r="H6" s="217"/>
      <c r="I6" s="218"/>
      <c r="J6" s="218"/>
      <c r="K6" s="267"/>
      <c r="L6" s="267"/>
      <c r="M6" s="267"/>
      <c r="N6" s="267"/>
      <c r="O6" s="267"/>
      <c r="P6" s="219"/>
      <c r="Q6" s="268"/>
      <c r="R6" s="216" t="str">
        <f ca="1">IF(ISERROR($V6),"",OFFSET('Smelter Look-up'!$C$4,$V6-4,0)&amp;"")</f>
        <v>Yunnan Tin Company Limited</v>
      </c>
      <c r="S6" s="224" t="str">
        <f t="shared" ca="1" si="0"/>
        <v>CN</v>
      </c>
      <c r="T6" s="224" t="str">
        <f ca="1">IF(B6="","",IF(ISERROR(MATCH($J6,SorP!$B$1:$B$6230,0)),"",INDIRECT("'SorP'!$A$"&amp;MATCH($J6,SorP!$B$1:$B$6230,0))))</f>
        <v/>
      </c>
      <c r="U6" s="239"/>
      <c r="V6" s="269">
        <f>IF(C6="",NA(),MATCH($B6&amp;$C6,'Smelter Look-up'!$J:$J,0))</f>
        <v>508</v>
      </c>
      <c r="W6" s="270"/>
      <c r="X6" s="270">
        <f t="shared" si="1"/>
        <v>0</v>
      </c>
      <c r="Y6" s="270"/>
      <c r="Z6" s="270"/>
      <c r="AB6" s="272" t="str">
        <f t="shared" si="2"/>
        <v>TinYunnan Tin Company, Ltd.</v>
      </c>
    </row>
    <row r="7" spans="1:34" s="271" customFormat="1" ht="28.5" customHeight="1">
      <c r="A7" s="347" t="s">
        <v>15506</v>
      </c>
      <c r="B7" s="347" t="s">
        <v>1250</v>
      </c>
      <c r="C7" s="348" t="s">
        <v>38</v>
      </c>
      <c r="D7" s="347" t="s">
        <v>15510</v>
      </c>
      <c r="E7" s="347" t="s">
        <v>1220</v>
      </c>
      <c r="F7" s="347" t="s">
        <v>15506</v>
      </c>
      <c r="G7" s="347"/>
      <c r="H7" s="217"/>
      <c r="I7" s="218"/>
      <c r="J7" s="218"/>
      <c r="K7" s="267"/>
      <c r="L7" s="267"/>
      <c r="M7" s="267"/>
      <c r="N7" s="267"/>
      <c r="O7" s="267"/>
      <c r="P7" s="219"/>
      <c r="Q7" s="268"/>
      <c r="R7" s="216" t="str">
        <f ca="1">IF(ISERROR($V7),"",OFFSET('Smelter Look-up'!$C$4,$V7-4,0)&amp;"")</f>
        <v>Gold Refinery of Zijin Mining Group Co., Ltd.</v>
      </c>
      <c r="S7" s="224" t="str">
        <f t="shared" ca="1" si="0"/>
        <v>CN</v>
      </c>
      <c r="T7" s="224" t="str">
        <f ca="1">IF(B7="","",IF(ISERROR(MATCH($J7,SorP!$B$1:$B$6230,0)),"",INDIRECT("'SorP'!$A$"&amp;MATCH($J7,SorP!$B$1:$B$6230,0))))</f>
        <v/>
      </c>
      <c r="U7" s="239"/>
      <c r="V7" s="269">
        <f>IF(C7="",NA(),MATCH($B7&amp;$C7,'Smelter Look-up'!$J:$J,0))</f>
        <v>282</v>
      </c>
      <c r="W7" s="270"/>
      <c r="X7" s="270">
        <f t="shared" si="1"/>
        <v>0</v>
      </c>
      <c r="Y7" s="270"/>
      <c r="Z7" s="270"/>
      <c r="AB7" s="272" t="str">
        <f t="shared" si="2"/>
        <v>GoldZijin Kuang Ye Refinery</v>
      </c>
    </row>
    <row r="8" spans="1:34" s="271" customFormat="1" ht="33" customHeight="1">
      <c r="A8" s="347" t="s">
        <v>15507</v>
      </c>
      <c r="B8" s="347" t="s">
        <v>1250</v>
      </c>
      <c r="C8" s="348" t="s">
        <v>1857</v>
      </c>
      <c r="D8" s="347" t="s">
        <v>15509</v>
      </c>
      <c r="E8" s="347" t="s">
        <v>1220</v>
      </c>
      <c r="F8" s="347" t="s">
        <v>15507</v>
      </c>
      <c r="G8" s="347"/>
      <c r="H8" s="217"/>
      <c r="I8" s="218"/>
      <c r="J8" s="218"/>
      <c r="K8" s="267"/>
      <c r="L8" s="267"/>
      <c r="M8" s="267"/>
      <c r="N8" s="267"/>
      <c r="O8" s="267"/>
      <c r="P8" s="219"/>
      <c r="Q8" s="268"/>
      <c r="R8" s="216" t="str">
        <f ca="1">IF(ISERROR($V8),"",OFFSET('Smelter Look-up'!$C$4,$V8-4,0)&amp;"")</f>
        <v>Metalor Technologies (Suzhou) Ltd.</v>
      </c>
      <c r="S8" s="224" t="str">
        <f t="shared" ca="1" si="0"/>
        <v>CN</v>
      </c>
      <c r="T8" s="224" t="str">
        <f ca="1">IF(B8="","",IF(ISERROR(MATCH($J8,SorP!$B$1:$B$6230,0)),"",INDIRECT("'SorP'!$A$"&amp;MATCH($J8,SorP!$B$1:$B$6230,0))))</f>
        <v/>
      </c>
      <c r="U8" s="239"/>
      <c r="V8" s="269">
        <f>IF(C8="",NA(),MATCH($B8&amp;$C8,'Smelter Look-up'!$J:$J,0))</f>
        <v>148</v>
      </c>
      <c r="W8" s="270"/>
      <c r="X8" s="270">
        <f t="shared" si="1"/>
        <v>0</v>
      </c>
      <c r="Y8" s="270"/>
      <c r="Z8" s="270"/>
      <c r="AB8" s="272" t="str">
        <f t="shared" si="2"/>
        <v>GoldMetalor Technologies (Suzhou) Ltd.</v>
      </c>
    </row>
    <row r="9" spans="1:34" s="271" customFormat="1" ht="22.5" customHeight="1">
      <c r="A9" s="347" t="s">
        <v>15508</v>
      </c>
      <c r="B9" s="347" t="s">
        <v>1251</v>
      </c>
      <c r="C9" s="351" t="s">
        <v>15517</v>
      </c>
      <c r="D9" s="347" t="s">
        <v>15516</v>
      </c>
      <c r="E9" s="347" t="s">
        <v>1220</v>
      </c>
      <c r="F9" s="347" t="s">
        <v>15508</v>
      </c>
      <c r="G9" s="347"/>
      <c r="H9" s="217"/>
      <c r="I9" s="218"/>
      <c r="J9" s="218"/>
      <c r="K9" s="267"/>
      <c r="L9" s="267"/>
      <c r="M9" s="267"/>
      <c r="N9" s="267"/>
      <c r="O9" s="267"/>
      <c r="P9" s="219"/>
      <c r="Q9" s="268"/>
      <c r="R9" s="216" t="str">
        <f ca="1">IF(ISERROR($V9),"",OFFSET('Smelter Look-up'!$C$4,$V9-4,0)&amp;"")</f>
        <v>Guangdong Hanhe Non-Ferrous Metal Co., Ltd.</v>
      </c>
      <c r="S9" s="224" t="str">
        <f t="shared" ca="1" si="0"/>
        <v>CN</v>
      </c>
      <c r="T9" s="224" t="str">
        <f ca="1">IF(B9="","",IF(ISERROR(MATCH($J9,SorP!$B$1:$B$6230,0)),"",INDIRECT("'SorP'!$A$"&amp;MATCH($J9,SorP!$B$1:$B$6230,0))))</f>
        <v/>
      </c>
      <c r="U9" s="239"/>
      <c r="V9" s="269">
        <f>IF(C9="",NA(),MATCH($B9&amp;$C9,'Smelter Look-up'!$J:$J,0))</f>
        <v>399</v>
      </c>
      <c r="W9" s="270"/>
      <c r="X9" s="270">
        <f t="shared" si="1"/>
        <v>0</v>
      </c>
      <c r="Y9" s="270"/>
      <c r="Z9" s="270"/>
      <c r="AB9" s="272" t="str">
        <f t="shared" si="2"/>
        <v>TinGuangdong Hanhe Non-Ferrous Metal Co., Ltd.</v>
      </c>
    </row>
    <row r="10" spans="1:34" s="271" customFormat="1" ht="22.5" customHeight="1">
      <c r="A10" s="347"/>
      <c r="B10" s="347"/>
      <c r="C10" s="348"/>
      <c r="D10" s="347"/>
      <c r="E10" s="347"/>
      <c r="F10" s="347"/>
      <c r="G10" s="347"/>
      <c r="H10" s="217"/>
      <c r="I10" s="218"/>
      <c r="J10" s="218"/>
      <c r="K10" s="267"/>
      <c r="L10" s="267"/>
      <c r="M10" s="267"/>
      <c r="N10" s="267"/>
      <c r="O10" s="267"/>
      <c r="P10" s="219"/>
      <c r="Q10" s="268"/>
      <c r="R10" s="216" t="str">
        <f ca="1">IF(ISERROR($V10),"",OFFSET('Smelter Look-up'!$C$4,$V10-4,0)&amp;"")</f>
        <v/>
      </c>
      <c r="S10" s="224" t="str">
        <f t="shared" ca="1" si="0"/>
        <v/>
      </c>
      <c r="T10" s="224" t="str">
        <f ca="1">IF(B10="","",IF(ISERROR(MATCH($J10,SorP!$B$1:$B$6230,0)),"",INDIRECT("'SorP'!$A$"&amp;MATCH($J10,SorP!$B$1:$B$6230,0))))</f>
        <v/>
      </c>
      <c r="U10" s="239"/>
      <c r="V10" s="269" t="e">
        <f>IF(C10="",NA(),MATCH($B10&amp;$C10,'Smelter Look-up'!$J:$J,0))</f>
        <v>#N/A</v>
      </c>
      <c r="W10" s="270"/>
      <c r="X10" s="270">
        <f t="shared" si="1"/>
        <v>0</v>
      </c>
      <c r="Y10" s="270"/>
      <c r="Z10" s="270"/>
      <c r="AB10" s="272" t="str">
        <f t="shared" si="2"/>
        <v/>
      </c>
    </row>
    <row r="11" spans="1:34" s="271" customFormat="1" ht="22.5" customHeight="1">
      <c r="A11" s="215"/>
      <c r="B11" s="216" t="str">
        <f>IF(LEN(A11)=0,"",INDEX('Smelter Look-up'!$A:$A,MATCH($A11,'Smelter Look-up'!$E:$E,0)))</f>
        <v/>
      </c>
      <c r="C11" s="220" t="str">
        <f>IF(LEN(A11)=0,"",INDEX('Smelter Look-up'!$C:$C,MATCH($A11,'Smelter Look-up'!$E:$E,0)))</f>
        <v/>
      </c>
      <c r="D11" s="216"/>
      <c r="E11" s="216" t="str">
        <f ca="1">IF(ISERROR($V11),"",OFFSET('Smelter Look-up'!$D$4,$V11-4,0)&amp;"")</f>
        <v/>
      </c>
      <c r="F11" s="216" t="str">
        <f ca="1">IF(ISERROR($V11),"",OFFSET('Smelter Look-up'!$E$4,$V11-4,0))</f>
        <v/>
      </c>
      <c r="G11" s="216" t="str">
        <f ca="1">IF(C11=$X$4,"Enter smelter details", IF(ISERROR($V11),"",OFFSET('Smelter Look-up'!$F$4,$V11-4,0)))</f>
        <v/>
      </c>
      <c r="H11" s="217" t="str">
        <f ca="1">IF(ISERROR($V11),"",OFFSET('Smelter Look-up'!$G$4,$V11-4,0))</f>
        <v/>
      </c>
      <c r="I11" s="218" t="str">
        <f ca="1">IF(ISERROR($V11),"",OFFSET('Smelter Look-up'!$H$4,$V11-4,0))</f>
        <v/>
      </c>
      <c r="J11" s="218" t="str">
        <f ca="1">IF(ISERROR($V11),"",OFFSET('Smelter Look-up'!$I$4,$V11-4,0))</f>
        <v/>
      </c>
      <c r="K11" s="267"/>
      <c r="L11" s="267"/>
      <c r="M11" s="267"/>
      <c r="N11" s="267"/>
      <c r="O11" s="267"/>
      <c r="P11" s="219"/>
      <c r="Q11" s="268"/>
      <c r="R11" s="216" t="str">
        <f ca="1">IF(ISERROR($V11),"",OFFSET('Smelter Look-up'!$C$4,$V11-4,0)&amp;"")</f>
        <v/>
      </c>
      <c r="S11" s="224" t="str">
        <f t="shared" ca="1" si="0"/>
        <v/>
      </c>
      <c r="T11" s="224" t="str">
        <f ca="1">IF(B11="","",IF(ISERROR(MATCH($J11,SorP!$B$1:$B$6230,0)),"",INDIRECT("'SorP'!$A$"&amp;MATCH($J11,SorP!$B$1:$B$6230,0))))</f>
        <v/>
      </c>
      <c r="U11" s="239"/>
      <c r="V11" s="269" t="e">
        <f>IF(C11="",NA(),MATCH($B11&amp;$C11,'Smelter Look-up'!$J:$J,0))</f>
        <v>#N/A</v>
      </c>
      <c r="W11" s="270"/>
      <c r="X11" s="270">
        <f t="shared" ca="1" si="1"/>
        <v>0</v>
      </c>
      <c r="Y11" s="270"/>
      <c r="Z11" s="270"/>
      <c r="AB11" s="272" t="str">
        <f t="shared" si="2"/>
        <v/>
      </c>
    </row>
    <row r="12" spans="1:34" s="271" customFormat="1" ht="20.25">
      <c r="A12" s="215"/>
      <c r="B12" s="216" t="str">
        <f>IF(LEN(A12)=0,"",INDEX('Smelter Look-up'!$A:$A,MATCH($A12,'Smelter Look-up'!$E:$E,0)))</f>
        <v/>
      </c>
      <c r="C12" s="220" t="str">
        <f>IF(LEN(A12)=0,"",INDEX('Smelter Look-up'!$C:$C,MATCH($A12,'Smelter Look-up'!$E:$E,0)))</f>
        <v/>
      </c>
      <c r="D12" s="216"/>
      <c r="E12" s="216" t="str">
        <f ca="1">IF(ISERROR($V12),"",OFFSET('Smelter Look-up'!$D$4,$V12-4,0)&amp;"")</f>
        <v/>
      </c>
      <c r="F12" s="216" t="str">
        <f ca="1">IF(ISERROR($V12),"",OFFSET('Smelter Look-up'!$E$4,$V12-4,0))</f>
        <v/>
      </c>
      <c r="G12" s="216" t="str">
        <f ca="1">IF(C12=$X$4,"Enter smelter details", IF(ISERROR($V12),"",OFFSET('Smelter Look-up'!$F$4,$V12-4,0)))</f>
        <v/>
      </c>
      <c r="H12" s="217" t="str">
        <f ca="1">IF(ISERROR($V12),"",OFFSET('Smelter Look-up'!$G$4,$V12-4,0))</f>
        <v/>
      </c>
      <c r="I12" s="218" t="str">
        <f ca="1">IF(ISERROR($V12),"",OFFSET('Smelter Look-up'!$H$4,$V12-4,0))</f>
        <v/>
      </c>
      <c r="J12" s="218" t="str">
        <f ca="1">IF(ISERROR($V12),"",OFFSET('Smelter Look-up'!$I$4,$V12-4,0))</f>
        <v/>
      </c>
      <c r="K12" s="267"/>
      <c r="L12" s="267"/>
      <c r="M12" s="267"/>
      <c r="N12" s="267"/>
      <c r="O12" s="267"/>
      <c r="P12" s="219"/>
      <c r="Q12" s="268"/>
      <c r="R12" s="216" t="str">
        <f ca="1">IF(ISERROR($V12),"",OFFSET('Smelter Look-up'!$C$4,$V12-4,0)&amp;"")</f>
        <v/>
      </c>
      <c r="S12" s="224" t="str">
        <f t="shared" ca="1" si="0"/>
        <v/>
      </c>
      <c r="T12" s="224" t="str">
        <f ca="1">IF(B12="","",IF(ISERROR(MATCH($J12,SorP!$B$1:$B$6230,0)),"",INDIRECT("'SorP'!$A$"&amp;MATCH($J12,SorP!$B$1:$B$6230,0))))</f>
        <v/>
      </c>
      <c r="U12" s="239"/>
      <c r="V12" s="269" t="e">
        <f>IF(C12="",NA(),MATCH($B12&amp;$C12,'Smelter Look-up'!$J:$J,0))</f>
        <v>#N/A</v>
      </c>
      <c r="W12" s="270"/>
      <c r="X12" s="270">
        <f t="shared" ca="1" si="1"/>
        <v>0</v>
      </c>
      <c r="Y12" s="270"/>
      <c r="Z12" s="270"/>
      <c r="AB12" s="272" t="str">
        <f t="shared" si="2"/>
        <v/>
      </c>
    </row>
    <row r="13" spans="1:34" s="271" customFormat="1" ht="20.25">
      <c r="A13" s="215"/>
      <c r="B13" s="216" t="str">
        <f>IF(LEN(A13)=0,"",INDEX('Smelter Look-up'!$A:$A,MATCH($A13,'Smelter Look-up'!$E:$E,0)))</f>
        <v/>
      </c>
      <c r="C13" s="220" t="str">
        <f>IF(LEN(A13)=0,"",INDEX('Smelter Look-up'!$C:$C,MATCH($A13,'Smelter Look-up'!$E:$E,0)))</f>
        <v/>
      </c>
      <c r="D13" s="216"/>
      <c r="E13" s="216" t="str">
        <f ca="1">IF(ISERROR($V13),"",OFFSET('Smelter Look-up'!$D$4,$V13-4,0)&amp;"")</f>
        <v/>
      </c>
      <c r="F13" s="216" t="str">
        <f ca="1">IF(ISERROR($V13),"",OFFSET('Smelter Look-up'!$E$4,$V13-4,0))</f>
        <v/>
      </c>
      <c r="G13" s="216" t="str">
        <f ca="1">IF(C13=$X$4,"Enter smelter details", IF(ISERROR($V13),"",OFFSET('Smelter Look-up'!$F$4,$V13-4,0)))</f>
        <v/>
      </c>
      <c r="H13" s="217" t="str">
        <f ca="1">IF(ISERROR($V13),"",OFFSET('Smelter Look-up'!$G$4,$V13-4,0))</f>
        <v/>
      </c>
      <c r="I13" s="218" t="str">
        <f ca="1">IF(ISERROR($V13),"",OFFSET('Smelter Look-up'!$H$4,$V13-4,0))</f>
        <v/>
      </c>
      <c r="J13" s="218" t="str">
        <f ca="1">IF(ISERROR($V13),"",OFFSET('Smelter Look-up'!$I$4,$V13-4,0))</f>
        <v/>
      </c>
      <c r="K13" s="267"/>
      <c r="L13" s="267"/>
      <c r="M13" s="267"/>
      <c r="N13" s="267"/>
      <c r="O13" s="267"/>
      <c r="P13" s="219"/>
      <c r="Q13" s="268"/>
      <c r="R13" s="216" t="str">
        <f ca="1">IF(ISERROR($V13),"",OFFSET('Smelter Look-up'!$C$4,$V13-4,0)&amp;"")</f>
        <v/>
      </c>
      <c r="S13" s="224" t="str">
        <f t="shared" ca="1" si="0"/>
        <v/>
      </c>
      <c r="T13" s="224" t="str">
        <f ca="1">IF(B13="","",IF(ISERROR(MATCH($J13,SorP!$B$1:$B$6230,0)),"",INDIRECT("'SorP'!$A$"&amp;MATCH($J13,SorP!$B$1:$B$6230,0))))</f>
        <v/>
      </c>
      <c r="U13" s="239"/>
      <c r="V13" s="269" t="e">
        <f>IF(C13="",NA(),MATCH($B13&amp;$C13,'Smelter Look-up'!$J:$J,0))</f>
        <v>#N/A</v>
      </c>
      <c r="W13" s="270"/>
      <c r="X13" s="270">
        <f t="shared" ca="1" si="1"/>
        <v>0</v>
      </c>
      <c r="Y13" s="270"/>
      <c r="Z13" s="270"/>
      <c r="AB13" s="272" t="str">
        <f t="shared" si="2"/>
        <v/>
      </c>
    </row>
    <row r="14" spans="1:34" s="271" customFormat="1" ht="20.25">
      <c r="A14" s="215"/>
      <c r="B14" s="216" t="str">
        <f>IF(LEN(A14)=0,"",INDEX('Smelter Look-up'!$A:$A,MATCH($A14,'Smelter Look-up'!$E:$E,0)))</f>
        <v/>
      </c>
      <c r="C14" s="220" t="str">
        <f>IF(LEN(A14)=0,"",INDEX('Smelter Look-up'!$C:$C,MATCH($A14,'Smelter Look-up'!$E:$E,0)))</f>
        <v/>
      </c>
      <c r="D14" s="216"/>
      <c r="E14" s="216" t="str">
        <f ca="1">IF(ISERROR($V14),"",OFFSET('Smelter Look-up'!$D$4,$V14-4,0)&amp;"")</f>
        <v/>
      </c>
      <c r="F14" s="216" t="str">
        <f ca="1">IF(ISERROR($V14),"",OFFSET('Smelter Look-up'!$E$4,$V14-4,0))</f>
        <v/>
      </c>
      <c r="G14" s="216" t="str">
        <f ca="1">IF(C14=$X$4,"Enter smelter details", IF(ISERROR($V14),"",OFFSET('Smelter Look-up'!$F$4,$V14-4,0)))</f>
        <v/>
      </c>
      <c r="H14" s="217" t="str">
        <f ca="1">IF(ISERROR($V14),"",OFFSET('Smelter Look-up'!$G$4,$V14-4,0))</f>
        <v/>
      </c>
      <c r="I14" s="218" t="str">
        <f ca="1">IF(ISERROR($V14),"",OFFSET('Smelter Look-up'!$H$4,$V14-4,0))</f>
        <v/>
      </c>
      <c r="J14" s="218" t="str">
        <f ca="1">IF(ISERROR($V14),"",OFFSET('Smelter Look-up'!$I$4,$V14-4,0))</f>
        <v/>
      </c>
      <c r="K14" s="267"/>
      <c r="L14" s="267"/>
      <c r="M14" s="267"/>
      <c r="N14" s="267"/>
      <c r="O14" s="267"/>
      <c r="P14" s="219"/>
      <c r="Q14" s="268"/>
      <c r="R14" s="216" t="str">
        <f ca="1">IF(ISERROR($V14),"",OFFSET('Smelter Look-up'!$C$4,$V14-4,0)&amp;"")</f>
        <v/>
      </c>
      <c r="S14" s="224" t="str">
        <f t="shared" ca="1" si="0"/>
        <v/>
      </c>
      <c r="T14" s="224" t="str">
        <f ca="1">IF(B14="","",IF(ISERROR(MATCH($J14,SorP!$B$1:$B$6230,0)),"",INDIRECT("'SorP'!$A$"&amp;MATCH($J14,SorP!$B$1:$B$6230,0))))</f>
        <v/>
      </c>
      <c r="U14" s="239"/>
      <c r="V14" s="269" t="e">
        <f>IF(C14="",NA(),MATCH($B14&amp;$C14,'Smelter Look-up'!$J:$J,0))</f>
        <v>#N/A</v>
      </c>
      <c r="W14" s="270"/>
      <c r="X14" s="270">
        <f t="shared" ca="1" si="1"/>
        <v>0</v>
      </c>
      <c r="Y14" s="270"/>
      <c r="Z14" s="270"/>
      <c r="AB14" s="272" t="str">
        <f t="shared" si="2"/>
        <v/>
      </c>
    </row>
    <row r="15" spans="1:34" s="271" customFormat="1" ht="20.25">
      <c r="A15" s="215"/>
      <c r="B15" s="216" t="str">
        <f>IF(LEN(A15)=0,"",INDEX('Smelter Look-up'!$A:$A,MATCH($A15,'Smelter Look-up'!$E:$E,0)))</f>
        <v/>
      </c>
      <c r="C15" s="220" t="str">
        <f>IF(LEN(A15)=0,"",INDEX('Smelter Look-up'!$C:$C,MATCH($A15,'Smelter Look-up'!$E:$E,0)))</f>
        <v/>
      </c>
      <c r="D15" s="216"/>
      <c r="E15" s="216" t="str">
        <f ca="1">IF(ISERROR($V15),"",OFFSET('Smelter Look-up'!$D$4,$V15-4,0)&amp;"")</f>
        <v/>
      </c>
      <c r="F15" s="216" t="str">
        <f ca="1">IF(ISERROR($V15),"",OFFSET('Smelter Look-up'!$E$4,$V15-4,0))</f>
        <v/>
      </c>
      <c r="G15" s="216" t="str">
        <f ca="1">IF(C15=$X$4,"Enter smelter details", IF(ISERROR($V15),"",OFFSET('Smelter Look-up'!$F$4,$V15-4,0)))</f>
        <v/>
      </c>
      <c r="H15" s="217" t="str">
        <f ca="1">IF(ISERROR($V15),"",OFFSET('Smelter Look-up'!$G$4,$V15-4,0))</f>
        <v/>
      </c>
      <c r="I15" s="218" t="str">
        <f ca="1">IF(ISERROR($V15),"",OFFSET('Smelter Look-up'!$H$4,$V15-4,0))</f>
        <v/>
      </c>
      <c r="J15" s="218" t="str">
        <f ca="1">IF(ISERROR($V15),"",OFFSET('Smelter Look-up'!$I$4,$V15-4,0))</f>
        <v/>
      </c>
      <c r="K15" s="267"/>
      <c r="L15" s="267"/>
      <c r="M15" s="267"/>
      <c r="N15" s="267"/>
      <c r="O15" s="267"/>
      <c r="P15" s="219"/>
      <c r="Q15" s="268"/>
      <c r="R15" s="216" t="str">
        <f ca="1">IF(ISERROR($V15),"",OFFSET('Smelter Look-up'!$C$4,$V15-4,0)&amp;"")</f>
        <v/>
      </c>
      <c r="S15" s="224" t="str">
        <f t="shared" ca="1" si="0"/>
        <v/>
      </c>
      <c r="T15" s="224" t="str">
        <f ca="1">IF(B15="","",IF(ISERROR(MATCH($J15,SorP!$B$1:$B$6230,0)),"",INDIRECT("'SorP'!$A$"&amp;MATCH($J15,SorP!$B$1:$B$6230,0))))</f>
        <v/>
      </c>
      <c r="U15" s="239"/>
      <c r="V15" s="269" t="e">
        <f>IF(C15="",NA(),MATCH($B15&amp;$C15,'Smelter Look-up'!$J:$J,0))</f>
        <v>#N/A</v>
      </c>
      <c r="W15" s="270"/>
      <c r="X15" s="270">
        <f t="shared" ca="1" si="1"/>
        <v>0</v>
      </c>
      <c r="Y15" s="270"/>
      <c r="Z15" s="270"/>
      <c r="AB15" s="272" t="str">
        <f t="shared" si="2"/>
        <v/>
      </c>
    </row>
    <row r="16" spans="1:34" s="271" customFormat="1" ht="20.25">
      <c r="A16" s="215"/>
      <c r="B16" s="216" t="str">
        <f>IF(LEN(A16)=0,"",INDEX('Smelter Look-up'!$A:$A,MATCH($A16,'Smelter Look-up'!$E:$E,0)))</f>
        <v/>
      </c>
      <c r="C16" s="220" t="str">
        <f>IF(LEN(A16)=0,"",INDEX('Smelter Look-up'!$C:$C,MATCH($A16,'Smelter Look-up'!$E:$E,0)))</f>
        <v/>
      </c>
      <c r="D16" s="216"/>
      <c r="E16" s="216" t="str">
        <f ca="1">IF(ISERROR($V16),"",OFFSET('Smelter Look-up'!$D$4,$V16-4,0)&amp;"")</f>
        <v/>
      </c>
      <c r="F16" s="216" t="str">
        <f ca="1">IF(ISERROR($V16),"",OFFSET('Smelter Look-up'!$E$4,$V16-4,0))</f>
        <v/>
      </c>
      <c r="G16" s="216" t="str">
        <f ca="1">IF(C16=$X$4,"Enter smelter details", IF(ISERROR($V16),"",OFFSET('Smelter Look-up'!$F$4,$V16-4,0)))</f>
        <v/>
      </c>
      <c r="H16" s="217" t="str">
        <f ca="1">IF(ISERROR($V16),"",OFFSET('Smelter Look-up'!$G$4,$V16-4,0))</f>
        <v/>
      </c>
      <c r="I16" s="218" t="str">
        <f ca="1">IF(ISERROR($V16),"",OFFSET('Smelter Look-up'!$H$4,$V16-4,0))</f>
        <v/>
      </c>
      <c r="J16" s="218" t="str">
        <f ca="1">IF(ISERROR($V16),"",OFFSET('Smelter Look-up'!$I$4,$V16-4,0))</f>
        <v/>
      </c>
      <c r="K16" s="267"/>
      <c r="L16" s="267"/>
      <c r="M16" s="267"/>
      <c r="N16" s="267"/>
      <c r="O16" s="267"/>
      <c r="P16" s="219"/>
      <c r="Q16" s="268"/>
      <c r="R16" s="216" t="str">
        <f ca="1">IF(ISERROR($V16),"",OFFSET('Smelter Look-up'!$C$4,$V16-4,0)&amp;"")</f>
        <v/>
      </c>
      <c r="S16" s="224" t="str">
        <f t="shared" ca="1" si="0"/>
        <v/>
      </c>
      <c r="T16" s="224" t="str">
        <f ca="1">IF(B16="","",IF(ISERROR(MATCH($J16,SorP!$B$1:$B$6230,0)),"",INDIRECT("'SorP'!$A$"&amp;MATCH($J16,SorP!$B$1:$B$6230,0))))</f>
        <v/>
      </c>
      <c r="U16" s="239"/>
      <c r="V16" s="269" t="e">
        <f>IF(C16="",NA(),MATCH($B16&amp;$C16,'Smelter Look-up'!$J:$J,0))</f>
        <v>#N/A</v>
      </c>
      <c r="W16" s="270"/>
      <c r="X16" s="270">
        <f t="shared" ca="1" si="1"/>
        <v>0</v>
      </c>
      <c r="Y16" s="270"/>
      <c r="Z16" s="270"/>
      <c r="AB16" s="272" t="str">
        <f t="shared" si="2"/>
        <v/>
      </c>
    </row>
    <row r="17" spans="1:28" s="271" customFormat="1" ht="20.25">
      <c r="A17" s="215"/>
      <c r="B17" s="216" t="str">
        <f>IF(LEN(A17)=0,"",INDEX('Smelter Look-up'!$A:$A,MATCH($A17,'Smelter Look-up'!$E:$E,0)))</f>
        <v/>
      </c>
      <c r="C17" s="220" t="str">
        <f>IF(LEN(A17)=0,"",INDEX('Smelter Look-up'!$C:$C,MATCH($A17,'Smelter Look-up'!$E:$E,0)))</f>
        <v/>
      </c>
      <c r="D17" s="216"/>
      <c r="E17" s="216" t="str">
        <f ca="1">IF(ISERROR($V17),"",OFFSET('Smelter Look-up'!$D$4,$V17-4,0)&amp;"")</f>
        <v/>
      </c>
      <c r="F17" s="216" t="str">
        <f ca="1">IF(ISERROR($V17),"",OFFSET('Smelter Look-up'!$E$4,$V17-4,0))</f>
        <v/>
      </c>
      <c r="G17" s="216" t="str">
        <f ca="1">IF(C17=$X$4,"Enter smelter details", IF(ISERROR($V17),"",OFFSET('Smelter Look-up'!$F$4,$V17-4,0)))</f>
        <v/>
      </c>
      <c r="H17" s="217" t="str">
        <f ca="1">IF(ISERROR($V17),"",OFFSET('Smelter Look-up'!$G$4,$V17-4,0))</f>
        <v/>
      </c>
      <c r="I17" s="218" t="str">
        <f ca="1">IF(ISERROR($V17),"",OFFSET('Smelter Look-up'!$H$4,$V17-4,0))</f>
        <v/>
      </c>
      <c r="J17" s="218" t="str">
        <f ca="1">IF(ISERROR($V17),"",OFFSET('Smelter Look-up'!$I$4,$V17-4,0))</f>
        <v/>
      </c>
      <c r="K17" s="267"/>
      <c r="L17" s="267"/>
      <c r="M17" s="267"/>
      <c r="N17" s="267"/>
      <c r="O17" s="267"/>
      <c r="P17" s="219"/>
      <c r="Q17" s="268"/>
      <c r="R17" s="216" t="str">
        <f ca="1">IF(ISERROR($V17),"",OFFSET('Smelter Look-up'!$C$4,$V17-4,0)&amp;"")</f>
        <v/>
      </c>
      <c r="S17" s="224" t="str">
        <f t="shared" ca="1" si="0"/>
        <v/>
      </c>
      <c r="T17" s="224" t="str">
        <f ca="1">IF(B17="","",IF(ISERROR(MATCH($J17,SorP!$B$1:$B$6230,0)),"",INDIRECT("'SorP'!$A$"&amp;MATCH($J17,SorP!$B$1:$B$6230,0))))</f>
        <v/>
      </c>
      <c r="U17" s="239"/>
      <c r="V17" s="269" t="e">
        <f>IF(C17="",NA(),MATCH($B17&amp;$C17,'Smelter Look-up'!$J:$J,0))</f>
        <v>#N/A</v>
      </c>
      <c r="W17" s="270"/>
      <c r="X17" s="270">
        <f t="shared" ca="1" si="1"/>
        <v>0</v>
      </c>
      <c r="Y17" s="270"/>
      <c r="Z17" s="270"/>
      <c r="AB17" s="272" t="str">
        <f t="shared" si="2"/>
        <v/>
      </c>
    </row>
    <row r="18" spans="1:28" s="271" customFormat="1" ht="20.25">
      <c r="A18" s="215"/>
      <c r="B18" s="216" t="str">
        <f>IF(LEN(A18)=0,"",INDEX('Smelter Look-up'!$A:$A,MATCH($A18,'Smelter Look-up'!$E:$E,0)))</f>
        <v/>
      </c>
      <c r="C18" s="220" t="str">
        <f>IF(LEN(A18)=0,"",INDEX('Smelter Look-up'!$C:$C,MATCH($A18,'Smelter Look-up'!$E:$E,0)))</f>
        <v/>
      </c>
      <c r="D18" s="216"/>
      <c r="E18" s="216" t="str">
        <f ca="1">IF(ISERROR($V18),"",OFFSET('Smelter Look-up'!$D$4,$V18-4,0)&amp;"")</f>
        <v/>
      </c>
      <c r="F18" s="216" t="str">
        <f ca="1">IF(ISERROR($V18),"",OFFSET('Smelter Look-up'!$E$4,$V18-4,0))</f>
        <v/>
      </c>
      <c r="G18" s="216" t="str">
        <f ca="1">IF(C18=$X$4,"Enter smelter details", IF(ISERROR($V18),"",OFFSET('Smelter Look-up'!$F$4,$V18-4,0)))</f>
        <v/>
      </c>
      <c r="H18" s="217" t="str">
        <f ca="1">IF(ISERROR($V18),"",OFFSET('Smelter Look-up'!$G$4,$V18-4,0))</f>
        <v/>
      </c>
      <c r="I18" s="218" t="str">
        <f ca="1">IF(ISERROR($V18),"",OFFSET('Smelter Look-up'!$H$4,$V18-4,0))</f>
        <v/>
      </c>
      <c r="J18" s="218" t="str">
        <f ca="1">IF(ISERROR($V18),"",OFFSET('Smelter Look-up'!$I$4,$V18-4,0))</f>
        <v/>
      </c>
      <c r="K18" s="267"/>
      <c r="L18" s="267"/>
      <c r="M18" s="267"/>
      <c r="N18" s="267"/>
      <c r="O18" s="267"/>
      <c r="P18" s="219"/>
      <c r="Q18" s="268"/>
      <c r="R18" s="216" t="str">
        <f ca="1">IF(ISERROR($V18),"",OFFSET('Smelter Look-up'!$C$4,$V18-4,0)&amp;"")</f>
        <v/>
      </c>
      <c r="S18" s="224" t="str">
        <f t="shared" ca="1" si="0"/>
        <v/>
      </c>
      <c r="T18" s="224" t="str">
        <f ca="1">IF(B18="","",IF(ISERROR(MATCH($J18,SorP!$B$1:$B$6230,0)),"",INDIRECT("'SorP'!$A$"&amp;MATCH($J18,SorP!$B$1:$B$6230,0))))</f>
        <v/>
      </c>
      <c r="U18" s="239"/>
      <c r="V18" s="269" t="e">
        <f>IF(C18="",NA(),MATCH($B18&amp;$C18,'Smelter Look-up'!$J:$J,0))</f>
        <v>#N/A</v>
      </c>
      <c r="W18" s="270"/>
      <c r="X18" s="270">
        <f t="shared" ca="1" si="1"/>
        <v>0</v>
      </c>
      <c r="Y18" s="270"/>
      <c r="Z18" s="270"/>
      <c r="AB18" s="272" t="str">
        <f t="shared" si="2"/>
        <v/>
      </c>
    </row>
    <row r="19" spans="1:28" s="271" customFormat="1" ht="20.25">
      <c r="A19" s="215"/>
      <c r="B19" s="216" t="str">
        <f>IF(LEN(A19)=0,"",INDEX('Smelter Look-up'!$A:$A,MATCH($A19,'Smelter Look-up'!$E:$E,0)))</f>
        <v/>
      </c>
      <c r="C19" s="220" t="str">
        <f>IF(LEN(A19)=0,"",INDEX('Smelter Look-up'!$C:$C,MATCH($A19,'Smelter Look-up'!$E:$E,0)))</f>
        <v/>
      </c>
      <c r="D19" s="216"/>
      <c r="E19" s="216" t="str">
        <f ca="1">IF(ISERROR($V19),"",OFFSET('Smelter Look-up'!$D$4,$V19-4,0)&amp;"")</f>
        <v/>
      </c>
      <c r="F19" s="216" t="str">
        <f ca="1">IF(ISERROR($V19),"",OFFSET('Smelter Look-up'!$E$4,$V19-4,0))</f>
        <v/>
      </c>
      <c r="G19" s="216" t="str">
        <f ca="1">IF(C19=$X$4,"Enter smelter details", IF(ISERROR($V19),"",OFFSET('Smelter Look-up'!$F$4,$V19-4,0)))</f>
        <v/>
      </c>
      <c r="H19" s="217" t="str">
        <f ca="1">IF(ISERROR($V19),"",OFFSET('Smelter Look-up'!$G$4,$V19-4,0))</f>
        <v/>
      </c>
      <c r="I19" s="218" t="str">
        <f ca="1">IF(ISERROR($V19),"",OFFSET('Smelter Look-up'!$H$4,$V19-4,0))</f>
        <v/>
      </c>
      <c r="J19" s="218" t="str">
        <f ca="1">IF(ISERROR($V19),"",OFFSET('Smelter Look-up'!$I$4,$V19-4,0))</f>
        <v/>
      </c>
      <c r="K19" s="267"/>
      <c r="L19" s="267"/>
      <c r="M19" s="267"/>
      <c r="N19" s="267"/>
      <c r="O19" s="267"/>
      <c r="P19" s="219"/>
      <c r="Q19" s="268"/>
      <c r="R19" s="216" t="str">
        <f ca="1">IF(ISERROR($V19),"",OFFSET('Smelter Look-up'!$C$4,$V19-4,0)&amp;"")</f>
        <v/>
      </c>
      <c r="S19" s="224" t="str">
        <f t="shared" ca="1" si="0"/>
        <v/>
      </c>
      <c r="T19" s="224" t="str">
        <f ca="1">IF(B19="","",IF(ISERROR(MATCH($J19,SorP!$B$1:$B$6230,0)),"",INDIRECT("'SorP'!$A$"&amp;MATCH($J19,SorP!$B$1:$B$6230,0))))</f>
        <v/>
      </c>
      <c r="U19" s="239"/>
      <c r="V19" s="269" t="e">
        <f>IF(C19="",NA(),MATCH($B19&amp;$C19,'Smelter Look-up'!$J:$J,0))</f>
        <v>#N/A</v>
      </c>
      <c r="W19" s="270"/>
      <c r="X19" s="270">
        <f t="shared" ca="1" si="1"/>
        <v>0</v>
      </c>
      <c r="Y19" s="270"/>
      <c r="Z19" s="270"/>
      <c r="AB19" s="272" t="str">
        <f t="shared" si="2"/>
        <v/>
      </c>
    </row>
    <row r="20" spans="1:28" s="271" customFormat="1" ht="20.25">
      <c r="A20" s="215"/>
      <c r="B20" s="216" t="str">
        <f>IF(LEN(A20)=0,"",INDEX('Smelter Look-up'!$A:$A,MATCH($A20,'Smelter Look-up'!$E:$E,0)))</f>
        <v/>
      </c>
      <c r="C20" s="220" t="str">
        <f>IF(LEN(A20)=0,"",INDEX('Smelter Look-up'!$C:$C,MATCH($A20,'Smelter Look-up'!$E:$E,0)))</f>
        <v/>
      </c>
      <c r="D20" s="216"/>
      <c r="E20" s="216" t="str">
        <f ca="1">IF(ISERROR($V20),"",OFFSET('Smelter Look-up'!$D$4,$V20-4,0)&amp;"")</f>
        <v/>
      </c>
      <c r="F20" s="216" t="str">
        <f ca="1">IF(ISERROR($V20),"",OFFSET('Smelter Look-up'!$E$4,$V20-4,0))</f>
        <v/>
      </c>
      <c r="G20" s="216" t="str">
        <f ca="1">IF(C20=$X$4,"Enter smelter details", IF(ISERROR($V20),"",OFFSET('Smelter Look-up'!$F$4,$V20-4,0)))</f>
        <v/>
      </c>
      <c r="H20" s="217" t="str">
        <f ca="1">IF(ISERROR($V20),"",OFFSET('Smelter Look-up'!$G$4,$V20-4,0))</f>
        <v/>
      </c>
      <c r="I20" s="218" t="str">
        <f ca="1">IF(ISERROR($V20),"",OFFSET('Smelter Look-up'!$H$4,$V20-4,0))</f>
        <v/>
      </c>
      <c r="J20" s="218" t="str">
        <f ca="1">IF(ISERROR($V20),"",OFFSET('Smelter Look-up'!$I$4,$V20-4,0))</f>
        <v/>
      </c>
      <c r="K20" s="267"/>
      <c r="L20" s="267"/>
      <c r="M20" s="267"/>
      <c r="N20" s="267"/>
      <c r="O20" s="267"/>
      <c r="P20" s="219"/>
      <c r="Q20" s="268"/>
      <c r="R20" s="216" t="str">
        <f ca="1">IF(ISERROR($V20),"",OFFSET('Smelter Look-up'!$C$4,$V20-4,0)&amp;"")</f>
        <v/>
      </c>
      <c r="S20" s="224" t="str">
        <f t="shared" ca="1" si="0"/>
        <v/>
      </c>
      <c r="T20" s="224" t="str">
        <f ca="1">IF(B20="","",IF(ISERROR(MATCH($J20,SorP!$B$1:$B$6230,0)),"",INDIRECT("'SorP'!$A$"&amp;MATCH($J20,SorP!$B$1:$B$6230,0))))</f>
        <v/>
      </c>
      <c r="U20" s="239"/>
      <c r="V20" s="269" t="e">
        <f>IF(C20="",NA(),MATCH($B20&amp;$C20,'Smelter Look-up'!$J:$J,0))</f>
        <v>#N/A</v>
      </c>
      <c r="W20" s="270"/>
      <c r="X20" s="270">
        <f t="shared" ca="1" si="1"/>
        <v>0</v>
      </c>
      <c r="Y20" s="270"/>
      <c r="Z20" s="270"/>
      <c r="AB20" s="272" t="str">
        <f t="shared" si="2"/>
        <v/>
      </c>
    </row>
    <row r="21" spans="1:28" s="271" customFormat="1" ht="20.25">
      <c r="A21" s="215"/>
      <c r="B21" s="216" t="str">
        <f>IF(LEN(A21)=0,"",INDEX('Smelter Look-up'!$A:$A,MATCH($A21,'Smelter Look-up'!$E:$E,0)))</f>
        <v/>
      </c>
      <c r="C21" s="220" t="str">
        <f>IF(LEN(A21)=0,"",INDEX('Smelter Look-up'!$C:$C,MATCH($A21,'Smelter Look-up'!$E:$E,0)))</f>
        <v/>
      </c>
      <c r="D21" s="216"/>
      <c r="E21" s="216" t="str">
        <f ca="1">IF(ISERROR($V21),"",OFFSET('Smelter Look-up'!$D$4,$V21-4,0)&amp;"")</f>
        <v/>
      </c>
      <c r="F21" s="216" t="str">
        <f ca="1">IF(ISERROR($V21),"",OFFSET('Smelter Look-up'!$E$4,$V21-4,0))</f>
        <v/>
      </c>
      <c r="G21" s="216" t="str">
        <f ca="1">IF(C21=$X$4,"Enter smelter details", IF(ISERROR($V21),"",OFFSET('Smelter Look-up'!$F$4,$V21-4,0)))</f>
        <v/>
      </c>
      <c r="H21" s="217" t="str">
        <f ca="1">IF(ISERROR($V21),"",OFFSET('Smelter Look-up'!$G$4,$V21-4,0))</f>
        <v/>
      </c>
      <c r="I21" s="218" t="str">
        <f ca="1">IF(ISERROR($V21),"",OFFSET('Smelter Look-up'!$H$4,$V21-4,0))</f>
        <v/>
      </c>
      <c r="J21" s="218" t="str">
        <f ca="1">IF(ISERROR($V21),"",OFFSET('Smelter Look-up'!$I$4,$V21-4,0))</f>
        <v/>
      </c>
      <c r="K21" s="267"/>
      <c r="L21" s="267"/>
      <c r="M21" s="267"/>
      <c r="N21" s="267"/>
      <c r="O21" s="267"/>
      <c r="P21" s="219"/>
      <c r="Q21" s="268"/>
      <c r="R21" s="216" t="str">
        <f ca="1">IF(ISERROR($V21),"",OFFSET('Smelter Look-up'!$C$4,$V21-4,0)&amp;"")</f>
        <v/>
      </c>
      <c r="S21" s="224" t="str">
        <f t="shared" ca="1" si="0"/>
        <v/>
      </c>
      <c r="T21" s="224" t="str">
        <f ca="1">IF(B21="","",IF(ISERROR(MATCH($J21,SorP!$B$1:$B$6230,0)),"",INDIRECT("'SorP'!$A$"&amp;MATCH($J21,SorP!$B$1:$B$6230,0))))</f>
        <v/>
      </c>
      <c r="U21" s="239"/>
      <c r="V21" s="269" t="e">
        <f>IF(C21="",NA(),MATCH($B21&amp;$C21,'Smelter Look-up'!$J:$J,0))</f>
        <v>#N/A</v>
      </c>
      <c r="W21" s="270"/>
      <c r="X21" s="270">
        <f t="shared" ca="1" si="1"/>
        <v>0</v>
      </c>
      <c r="Y21" s="270"/>
      <c r="Z21" s="270"/>
      <c r="AB21" s="272" t="str">
        <f t="shared" si="2"/>
        <v/>
      </c>
    </row>
    <row r="22" spans="1:28" s="271" customFormat="1" ht="20.25">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7"/>
      <c r="L22" s="267"/>
      <c r="M22" s="267"/>
      <c r="N22" s="267"/>
      <c r="O22" s="267"/>
      <c r="P22" s="219"/>
      <c r="Q22" s="268"/>
      <c r="R22" s="216" t="str">
        <f ca="1">IF(ISERROR($V22),"",OFFSET('Smelter Look-up'!$C$4,$V22-4,0)&amp;"")</f>
        <v/>
      </c>
      <c r="S22" s="224" t="str">
        <f t="shared" ca="1" si="0"/>
        <v/>
      </c>
      <c r="T22" s="224" t="str">
        <f ca="1">IF(B22="","",IF(ISERROR(MATCH($J22,SorP!$B$1:$B$6230,0)),"",INDIRECT("'SorP'!$A$"&amp;MATCH($J22,SorP!$B$1:$B$6230,0))))</f>
        <v/>
      </c>
      <c r="U22" s="239"/>
      <c r="V22" s="269" t="e">
        <f>IF(C22="",NA(),MATCH($B22&amp;$C22,'Smelter Look-up'!$J:$J,0))</f>
        <v>#N/A</v>
      </c>
      <c r="W22" s="270"/>
      <c r="X22" s="270">
        <f t="shared" ca="1" si="1"/>
        <v>0</v>
      </c>
      <c r="Y22" s="270"/>
      <c r="Z22" s="270"/>
      <c r="AB22" s="272" t="str">
        <f t="shared" si="2"/>
        <v/>
      </c>
    </row>
    <row r="23" spans="1:28" s="271" customFormat="1" ht="20.25">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0"/>
        <v/>
      </c>
      <c r="T23" s="224" t="str">
        <f ca="1">IF(B23="","",IF(ISERROR(MATCH($J23,SorP!$B$1:$B$6230,0)),"",INDIRECT("'SorP'!$A$"&amp;MATCH($J23,SorP!$B$1:$B$6230,0))))</f>
        <v/>
      </c>
      <c r="U23" s="239"/>
      <c r="V23" s="269" t="e">
        <f>IF(C23="",NA(),MATCH($B23&amp;$C23,'Smelter Look-up'!$J:$J,0))</f>
        <v>#N/A</v>
      </c>
      <c r="W23" s="270"/>
      <c r="X23" s="270">
        <f t="shared" ca="1" si="1"/>
        <v>0</v>
      </c>
      <c r="Y23" s="270"/>
      <c r="Z23" s="270"/>
      <c r="AB23" s="272" t="str">
        <f t="shared" si="2"/>
        <v/>
      </c>
    </row>
    <row r="24" spans="1:28" s="271" customFormat="1" ht="20.25">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0"/>
        <v/>
      </c>
      <c r="T24" s="224" t="str">
        <f ca="1">IF(B24="","",IF(ISERROR(MATCH($J24,SorP!$B$1:$B$6230,0)),"",INDIRECT("'SorP'!$A$"&amp;MATCH($J24,SorP!$B$1:$B$6230,0))))</f>
        <v/>
      </c>
      <c r="U24" s="239"/>
      <c r="V24" s="269" t="e">
        <f>IF(C24="",NA(),MATCH($B24&amp;$C24,'Smelter Look-up'!$J:$J,0))</f>
        <v>#N/A</v>
      </c>
      <c r="W24" s="270"/>
      <c r="X24" s="270">
        <f t="shared" ca="1" si="1"/>
        <v>0</v>
      </c>
      <c r="Y24" s="270"/>
      <c r="Z24" s="270"/>
      <c r="AB24" s="272" t="str">
        <f t="shared" si="2"/>
        <v/>
      </c>
    </row>
    <row r="25" spans="1:28" s="271" customFormat="1" ht="20.25">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0"/>
        <v/>
      </c>
      <c r="T25" s="224" t="str">
        <f ca="1">IF(B25="","",IF(ISERROR(MATCH($J25,SorP!$B$1:$B$6230,0)),"",INDIRECT("'SorP'!$A$"&amp;MATCH($J25,SorP!$B$1:$B$6230,0))))</f>
        <v/>
      </c>
      <c r="U25" s="239"/>
      <c r="V25" s="269" t="e">
        <f>IF(C25="",NA(),MATCH($B25&amp;$C25,'Smelter Look-up'!$J:$J,0))</f>
        <v>#N/A</v>
      </c>
      <c r="W25" s="270"/>
      <c r="X25" s="270">
        <f t="shared" ca="1" si="1"/>
        <v>0</v>
      </c>
      <c r="Y25" s="270"/>
      <c r="Z25" s="270"/>
      <c r="AB25" s="272" t="str">
        <f t="shared" si="2"/>
        <v/>
      </c>
    </row>
    <row r="26" spans="1:28" s="271" customFormat="1" ht="20.25">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0"/>
        <v/>
      </c>
      <c r="T26" s="224" t="str">
        <f ca="1">IF(B26="","",IF(ISERROR(MATCH($J26,SorP!$B$1:$B$6230,0)),"",INDIRECT("'SorP'!$A$"&amp;MATCH($J26,SorP!$B$1:$B$6230,0))))</f>
        <v/>
      </c>
      <c r="U26" s="239"/>
      <c r="V26" s="269" t="e">
        <f>IF(C26="",NA(),MATCH($B26&amp;$C26,'Smelter Look-up'!$J:$J,0))</f>
        <v>#N/A</v>
      </c>
      <c r="W26" s="270"/>
      <c r="X26" s="270">
        <f t="shared" ca="1" si="1"/>
        <v>0</v>
      </c>
      <c r="Y26" s="270"/>
      <c r="Z26" s="270"/>
      <c r="AB26" s="272" t="str">
        <f t="shared" si="2"/>
        <v/>
      </c>
    </row>
    <row r="27" spans="1:28" s="271" customFormat="1" ht="20.25">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0"/>
        <v/>
      </c>
      <c r="T27" s="224" t="str">
        <f ca="1">IF(B27="","",IF(ISERROR(MATCH($J27,SorP!$B$1:$B$6230,0)),"",INDIRECT("'SorP'!$A$"&amp;MATCH($J27,SorP!$B$1:$B$6230,0))))</f>
        <v/>
      </c>
      <c r="U27" s="239"/>
      <c r="V27" s="269" t="e">
        <f>IF(C27="",NA(),MATCH($B27&amp;$C27,'Smelter Look-up'!$J:$J,0))</f>
        <v>#N/A</v>
      </c>
      <c r="W27" s="270"/>
      <c r="X27" s="270">
        <f t="shared" ca="1" si="1"/>
        <v>0</v>
      </c>
      <c r="Y27" s="270"/>
      <c r="Z27" s="270"/>
      <c r="AB27" s="272" t="str">
        <f t="shared" si="2"/>
        <v/>
      </c>
    </row>
    <row r="28" spans="1:28" s="271" customFormat="1" ht="20.25">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0"/>
        <v/>
      </c>
      <c r="T28" s="224" t="str">
        <f ca="1">IF(B28="","",IF(ISERROR(MATCH($J28,SorP!$B$1:$B$6230,0)),"",INDIRECT("'SorP'!$A$"&amp;MATCH($J28,SorP!$B$1:$B$6230,0))))</f>
        <v/>
      </c>
      <c r="U28" s="239"/>
      <c r="V28" s="269" t="e">
        <f>IF(C28="",NA(),MATCH($B28&amp;$C28,'Smelter Look-up'!$J:$J,0))</f>
        <v>#N/A</v>
      </c>
      <c r="W28" s="270"/>
      <c r="X28" s="270">
        <f t="shared" ca="1" si="1"/>
        <v>0</v>
      </c>
      <c r="Y28" s="270"/>
      <c r="Z28" s="270"/>
      <c r="AB28" s="272" t="str">
        <f t="shared" si="2"/>
        <v/>
      </c>
    </row>
    <row r="29" spans="1:28" s="271" customFormat="1" ht="20.25">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0"/>
        <v/>
      </c>
      <c r="T29" s="224" t="str">
        <f ca="1">IF(B29="","",IF(ISERROR(MATCH($J29,SorP!$B$1:$B$6230,0)),"",INDIRECT("'SorP'!$A$"&amp;MATCH($J29,SorP!$B$1:$B$6230,0))))</f>
        <v/>
      </c>
      <c r="U29" s="239"/>
      <c r="V29" s="269" t="e">
        <f>IF(C29="",NA(),MATCH($B29&amp;$C29,'Smelter Look-up'!$J:$J,0))</f>
        <v>#N/A</v>
      </c>
      <c r="W29" s="270"/>
      <c r="X29" s="270">
        <f t="shared" ca="1" si="1"/>
        <v>0</v>
      </c>
      <c r="Y29" s="270"/>
      <c r="Z29" s="270"/>
      <c r="AB29" s="272" t="str">
        <f t="shared" si="2"/>
        <v/>
      </c>
    </row>
    <row r="30" spans="1:28" s="271" customFormat="1" ht="20.25">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0"/>
        <v/>
      </c>
      <c r="T30" s="224" t="str">
        <f ca="1">IF(B30="","",IF(ISERROR(MATCH($J30,SorP!$B$1:$B$6230,0)),"",INDIRECT("'SorP'!$A$"&amp;MATCH($J30,SorP!$B$1:$B$6230,0))))</f>
        <v/>
      </c>
      <c r="U30" s="239"/>
      <c r="V30" s="269" t="e">
        <f>IF(C30="",NA(),MATCH($B30&amp;$C30,'Smelter Look-up'!$J:$J,0))</f>
        <v>#N/A</v>
      </c>
      <c r="W30" s="270"/>
      <c r="X30" s="270">
        <f t="shared" ca="1" si="1"/>
        <v>0</v>
      </c>
      <c r="Y30" s="270"/>
      <c r="Z30" s="270"/>
      <c r="AB30" s="272" t="str">
        <f t="shared" si="2"/>
        <v/>
      </c>
    </row>
    <row r="31" spans="1:28" s="271" customFormat="1" ht="20.25">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0"/>
        <v/>
      </c>
      <c r="T31" s="224" t="str">
        <f ca="1">IF(B31="","",IF(ISERROR(MATCH($J31,SorP!$B$1:$B$6230,0)),"",INDIRECT("'SorP'!$A$"&amp;MATCH($J31,SorP!$B$1:$B$6230,0))))</f>
        <v/>
      </c>
      <c r="U31" s="239"/>
      <c r="V31" s="269" t="e">
        <f>IF(C31="",NA(),MATCH($B31&amp;$C31,'Smelter Look-up'!$J:$J,0))</f>
        <v>#N/A</v>
      </c>
      <c r="W31" s="270"/>
      <c r="X31" s="270">
        <f t="shared" ca="1" si="1"/>
        <v>0</v>
      </c>
      <c r="Y31" s="270"/>
      <c r="Z31" s="270"/>
      <c r="AB31" s="272" t="str">
        <f t="shared" si="2"/>
        <v/>
      </c>
    </row>
    <row r="32" spans="1:28" s="271" customFormat="1" ht="20.25">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0"/>
        <v/>
      </c>
      <c r="T32" s="224" t="str">
        <f ca="1">IF(B32="","",IF(ISERROR(MATCH($J32,SorP!$B$1:$B$6230,0)),"",INDIRECT("'SorP'!$A$"&amp;MATCH($J32,SorP!$B$1:$B$6230,0))))</f>
        <v/>
      </c>
      <c r="U32" s="239"/>
      <c r="V32" s="269" t="e">
        <f>IF(C32="",NA(),MATCH($B32&amp;$C32,'Smelter Look-up'!$J:$J,0))</f>
        <v>#N/A</v>
      </c>
      <c r="W32" s="270"/>
      <c r="X32" s="270">
        <f t="shared" ca="1" si="1"/>
        <v>0</v>
      </c>
      <c r="Y32" s="270"/>
      <c r="Z32" s="270"/>
      <c r="AB32" s="272" t="str">
        <f t="shared" si="2"/>
        <v/>
      </c>
    </row>
    <row r="33" spans="1:28" s="271" customFormat="1" ht="20.25">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0"/>
        <v/>
      </c>
      <c r="T33" s="224" t="str">
        <f ca="1">IF(B33="","",IF(ISERROR(MATCH($J33,SorP!$B$1:$B$6230,0)),"",INDIRECT("'SorP'!$A$"&amp;MATCH($J33,SorP!$B$1:$B$6230,0))))</f>
        <v/>
      </c>
      <c r="U33" s="239"/>
      <c r="V33" s="269" t="e">
        <f>IF(C33="",NA(),MATCH($B33&amp;$C33,'Smelter Look-up'!$J:$J,0))</f>
        <v>#N/A</v>
      </c>
      <c r="W33" s="270"/>
      <c r="X33" s="270">
        <f t="shared" ca="1" si="1"/>
        <v>0</v>
      </c>
      <c r="Y33" s="270"/>
      <c r="Z33" s="270"/>
      <c r="AB33" s="272" t="str">
        <f t="shared" si="2"/>
        <v/>
      </c>
    </row>
    <row r="34" spans="1:28" s="271" customFormat="1" ht="20.25">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0"/>
        <v/>
      </c>
      <c r="T34" s="224" t="str">
        <f ca="1">IF(B34="","",IF(ISERROR(MATCH($J34,SorP!$B$1:$B$6230,0)),"",INDIRECT("'SorP'!$A$"&amp;MATCH($J34,SorP!$B$1:$B$6230,0))))</f>
        <v/>
      </c>
      <c r="U34" s="239"/>
      <c r="V34" s="269" t="e">
        <f>IF(C34="",NA(),MATCH($B34&amp;$C34,'Smelter Look-up'!$J:$J,0))</f>
        <v>#N/A</v>
      </c>
      <c r="W34" s="270"/>
      <c r="X34" s="270">
        <f t="shared" ca="1" si="1"/>
        <v>0</v>
      </c>
      <c r="Y34" s="270"/>
      <c r="Z34" s="270"/>
      <c r="AB34" s="272" t="str">
        <f t="shared" si="2"/>
        <v/>
      </c>
    </row>
    <row r="35" spans="1:28" s="271" customFormat="1" ht="20.25">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0"/>
        <v/>
      </c>
      <c r="T35" s="224" t="str">
        <f ca="1">IF(B35="","",IF(ISERROR(MATCH($J35,SorP!$B$1:$B$6230,0)),"",INDIRECT("'SorP'!$A$"&amp;MATCH($J35,SorP!$B$1:$B$6230,0))))</f>
        <v/>
      </c>
      <c r="U35" s="239"/>
      <c r="V35" s="269" t="e">
        <f>IF(C35="",NA(),MATCH($B35&amp;$C35,'Smelter Look-up'!$J:$J,0))</f>
        <v>#N/A</v>
      </c>
      <c r="W35" s="270"/>
      <c r="X35" s="270">
        <f t="shared" ca="1" si="1"/>
        <v>0</v>
      </c>
      <c r="Y35" s="270"/>
      <c r="Z35" s="270"/>
      <c r="AB35" s="272" t="str">
        <f t="shared" si="2"/>
        <v/>
      </c>
    </row>
    <row r="36" spans="1:28" s="271" customFormat="1" ht="20.25">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0"/>
        <v/>
      </c>
      <c r="T36" s="224" t="str">
        <f ca="1">IF(B36="","",IF(ISERROR(MATCH($J36,SorP!$B$1:$B$6230,0)),"",INDIRECT("'SorP'!$A$"&amp;MATCH($J36,SorP!$B$1:$B$6230,0))))</f>
        <v/>
      </c>
      <c r="U36" s="239"/>
      <c r="V36" s="269" t="e">
        <f>IF(C36="",NA(),MATCH($B36&amp;$C36,'Smelter Look-up'!$J:$J,0))</f>
        <v>#N/A</v>
      </c>
      <c r="W36" s="270"/>
      <c r="X36" s="270">
        <f t="shared" ca="1" si="1"/>
        <v>0</v>
      </c>
      <c r="Y36" s="270"/>
      <c r="Z36" s="270"/>
      <c r="AB36" s="272" t="str">
        <f t="shared" si="2"/>
        <v/>
      </c>
    </row>
    <row r="37" spans="1:28" s="271" customFormat="1" ht="20.25">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0"/>
        <v/>
      </c>
      <c r="T37" s="224" t="str">
        <f ca="1">IF(B37="","",IF(ISERROR(MATCH($J37,SorP!$B$1:$B$6230,0)),"",INDIRECT("'SorP'!$A$"&amp;MATCH($J37,SorP!$B$1:$B$6230,0))))</f>
        <v/>
      </c>
      <c r="U37" s="239"/>
      <c r="V37" s="269" t="e">
        <f>IF(C37="",NA(),MATCH($B37&amp;$C37,'Smelter Look-up'!$J:$J,0))</f>
        <v>#N/A</v>
      </c>
      <c r="W37" s="270"/>
      <c r="X37" s="270">
        <f t="shared" ca="1" si="1"/>
        <v>0</v>
      </c>
      <c r="Y37" s="270"/>
      <c r="Z37" s="270"/>
      <c r="AB37" s="272" t="str">
        <f t="shared" si="2"/>
        <v/>
      </c>
    </row>
    <row r="38" spans="1:28" s="271" customFormat="1" ht="20.25">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0"/>
        <v/>
      </c>
      <c r="T38" s="224" t="str">
        <f ca="1">IF(B38="","",IF(ISERROR(MATCH($J38,SorP!$B$1:$B$6230,0)),"",INDIRECT("'SorP'!$A$"&amp;MATCH($J38,SorP!$B$1:$B$6230,0))))</f>
        <v/>
      </c>
      <c r="U38" s="239"/>
      <c r="V38" s="269" t="e">
        <f>IF(C38="",NA(),MATCH($B38&amp;$C38,'Smelter Look-up'!$J:$J,0))</f>
        <v>#N/A</v>
      </c>
      <c r="W38" s="270"/>
      <c r="X38" s="270">
        <f t="shared" ca="1" si="1"/>
        <v>0</v>
      </c>
      <c r="Y38" s="270"/>
      <c r="Z38" s="270"/>
      <c r="AB38" s="272" t="str">
        <f t="shared" si="2"/>
        <v/>
      </c>
    </row>
    <row r="39" spans="1:28" s="271" customFormat="1" ht="20.25">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0"/>
        <v/>
      </c>
      <c r="T39" s="224" t="str">
        <f ca="1">IF(B39="","",IF(ISERROR(MATCH($J39,SorP!$B$1:$B$6230,0)),"",INDIRECT("'SorP'!$A$"&amp;MATCH($J39,SorP!$B$1:$B$6230,0))))</f>
        <v/>
      </c>
      <c r="U39" s="239"/>
      <c r="V39" s="269" t="e">
        <f>IF(C39="",NA(),MATCH($B39&amp;$C39,'Smelter Look-up'!$J:$J,0))</f>
        <v>#N/A</v>
      </c>
      <c r="W39" s="270"/>
      <c r="X39" s="270">
        <f t="shared" ca="1" si="1"/>
        <v>0</v>
      </c>
      <c r="Y39" s="270"/>
      <c r="Z39" s="270"/>
      <c r="AB39" s="272" t="str">
        <f t="shared" si="2"/>
        <v/>
      </c>
    </row>
    <row r="40" spans="1:28" s="271" customFormat="1" ht="20.25">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0"/>
        <v/>
      </c>
      <c r="T40" s="224" t="str">
        <f ca="1">IF(B40="","",IF(ISERROR(MATCH($J40,SorP!$B$1:$B$6230,0)),"",INDIRECT("'SorP'!$A$"&amp;MATCH($J40,SorP!$B$1:$B$6230,0))))</f>
        <v/>
      </c>
      <c r="U40" s="239"/>
      <c r="V40" s="269" t="e">
        <f>IF(C40="",NA(),MATCH($B40&amp;$C40,'Smelter Look-up'!$J:$J,0))</f>
        <v>#N/A</v>
      </c>
      <c r="W40" s="270"/>
      <c r="X40" s="270">
        <f t="shared" ca="1" si="1"/>
        <v>0</v>
      </c>
      <c r="Y40" s="270"/>
      <c r="Z40" s="270"/>
      <c r="AB40" s="272" t="str">
        <f t="shared" si="2"/>
        <v/>
      </c>
    </row>
    <row r="41" spans="1:28" s="271" customFormat="1" ht="20.25">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0"/>
        <v/>
      </c>
      <c r="T41" s="224" t="str">
        <f ca="1">IF(B41="","",IF(ISERROR(MATCH($J41,SorP!$B$1:$B$6230,0)),"",INDIRECT("'SorP'!$A$"&amp;MATCH($J41,SorP!$B$1:$B$6230,0))))</f>
        <v/>
      </c>
      <c r="U41" s="239"/>
      <c r="V41" s="269" t="e">
        <f>IF(C41="",NA(),MATCH($B41&amp;$C41,'Smelter Look-up'!$J:$J,0))</f>
        <v>#N/A</v>
      </c>
      <c r="W41" s="270"/>
      <c r="X41" s="270">
        <f t="shared" ca="1" si="1"/>
        <v>0</v>
      </c>
      <c r="Y41" s="270"/>
      <c r="Z41" s="270"/>
      <c r="AB41" s="272" t="str">
        <f t="shared" si="2"/>
        <v/>
      </c>
    </row>
    <row r="42" spans="1:28" s="271" customFormat="1" ht="20.25">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0"/>
        <v/>
      </c>
      <c r="T42" s="224" t="str">
        <f ca="1">IF(B42="","",IF(ISERROR(MATCH($J42,SorP!$B$1:$B$6230,0)),"",INDIRECT("'SorP'!$A$"&amp;MATCH($J42,SorP!$B$1:$B$6230,0))))</f>
        <v/>
      </c>
      <c r="U42" s="239"/>
      <c r="V42" s="269" t="e">
        <f>IF(C42="",NA(),MATCH($B42&amp;$C42,'Smelter Look-up'!$J:$J,0))</f>
        <v>#N/A</v>
      </c>
      <c r="W42" s="270"/>
      <c r="X42" s="270">
        <f t="shared" ca="1" si="1"/>
        <v>0</v>
      </c>
      <c r="Y42" s="270"/>
      <c r="Z42" s="270"/>
      <c r="AB42" s="272" t="str">
        <f t="shared" si="2"/>
        <v/>
      </c>
    </row>
    <row r="43" spans="1:28" s="271" customFormat="1" ht="20.25">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0"/>
        <v/>
      </c>
      <c r="T43" s="224" t="str">
        <f ca="1">IF(B43="","",IF(ISERROR(MATCH($J43,SorP!$B$1:$B$6230,0)),"",INDIRECT("'SorP'!$A$"&amp;MATCH($J43,SorP!$B$1:$B$6230,0))))</f>
        <v/>
      </c>
      <c r="U43" s="239"/>
      <c r="V43" s="269" t="e">
        <f>IF(C43="",NA(),MATCH($B43&amp;$C43,'Smelter Look-up'!$J:$J,0))</f>
        <v>#N/A</v>
      </c>
      <c r="W43" s="270"/>
      <c r="X43" s="270">
        <f t="shared" ca="1" si="1"/>
        <v>0</v>
      </c>
      <c r="Y43" s="270"/>
      <c r="Z43" s="270"/>
      <c r="AB43" s="272" t="str">
        <f t="shared" si="2"/>
        <v/>
      </c>
    </row>
    <row r="44" spans="1:28" s="271" customFormat="1" ht="20.25">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0"/>
        <v/>
      </c>
      <c r="T44" s="224" t="str">
        <f ca="1">IF(B44="","",IF(ISERROR(MATCH($J44,SorP!$B$1:$B$6230,0)),"",INDIRECT("'SorP'!$A$"&amp;MATCH($J44,SorP!$B$1:$B$6230,0))))</f>
        <v/>
      </c>
      <c r="U44" s="239"/>
      <c r="V44" s="269" t="e">
        <f>IF(C44="",NA(),MATCH($B44&amp;$C44,'Smelter Look-up'!$J:$J,0))</f>
        <v>#N/A</v>
      </c>
      <c r="W44" s="270"/>
      <c r="X44" s="270">
        <f t="shared" ca="1" si="1"/>
        <v>0</v>
      </c>
      <c r="Y44" s="270"/>
      <c r="Z44" s="270"/>
      <c r="AB44" s="272" t="str">
        <f t="shared" si="2"/>
        <v/>
      </c>
    </row>
    <row r="45" spans="1:28" s="271" customFormat="1" ht="20.25">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0"/>
        <v/>
      </c>
      <c r="T45" s="224" t="str">
        <f ca="1">IF(B45="","",IF(ISERROR(MATCH($J45,SorP!$B$1:$B$6230,0)),"",INDIRECT("'SorP'!$A$"&amp;MATCH($J45,SorP!$B$1:$B$6230,0))))</f>
        <v/>
      </c>
      <c r="U45" s="239"/>
      <c r="V45" s="269" t="e">
        <f>IF(C45="",NA(),MATCH($B45&amp;$C45,'Smelter Look-up'!$J:$J,0))</f>
        <v>#N/A</v>
      </c>
      <c r="W45" s="270"/>
      <c r="X45" s="270">
        <f t="shared" ca="1" si="1"/>
        <v>0</v>
      </c>
      <c r="Y45" s="270"/>
      <c r="Z45" s="270"/>
      <c r="AB45" s="272" t="str">
        <f t="shared" si="2"/>
        <v/>
      </c>
    </row>
    <row r="46" spans="1:28" s="271" customFormat="1" ht="20.25">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0"/>
        <v/>
      </c>
      <c r="T46" s="224" t="str">
        <f ca="1">IF(B46="","",IF(ISERROR(MATCH($J46,SorP!$B$1:$B$6230,0)),"",INDIRECT("'SorP'!$A$"&amp;MATCH($J46,SorP!$B$1:$B$6230,0))))</f>
        <v/>
      </c>
      <c r="U46" s="239"/>
      <c r="V46" s="269" t="e">
        <f>IF(C46="",NA(),MATCH($B46&amp;$C46,'Smelter Look-up'!$J:$J,0))</f>
        <v>#N/A</v>
      </c>
      <c r="W46" s="270"/>
      <c r="X46" s="270">
        <f t="shared" ca="1" si="1"/>
        <v>0</v>
      </c>
      <c r="Y46" s="270"/>
      <c r="Z46" s="270"/>
      <c r="AB46" s="272" t="str">
        <f t="shared" si="2"/>
        <v/>
      </c>
    </row>
    <row r="47" spans="1:28" s="271" customFormat="1" ht="20.25">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0"/>
        <v/>
      </c>
      <c r="T47" s="224" t="str">
        <f ca="1">IF(B47="","",IF(ISERROR(MATCH($J47,SorP!$B$1:$B$6230,0)),"",INDIRECT("'SorP'!$A$"&amp;MATCH($J47,SorP!$B$1:$B$6230,0))))</f>
        <v/>
      </c>
      <c r="U47" s="239"/>
      <c r="V47" s="269" t="e">
        <f>IF(C47="",NA(),MATCH($B47&amp;$C47,'Smelter Look-up'!$J:$J,0))</f>
        <v>#N/A</v>
      </c>
      <c r="W47" s="270"/>
      <c r="X47" s="270">
        <f t="shared" ca="1" si="1"/>
        <v>0</v>
      </c>
      <c r="Y47" s="270"/>
      <c r="Z47" s="270"/>
      <c r="AB47" s="272" t="str">
        <f t="shared" si="2"/>
        <v/>
      </c>
    </row>
    <row r="48" spans="1:28" s="271" customFormat="1" ht="20.25">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0"/>
        <v/>
      </c>
      <c r="T48" s="224" t="str">
        <f ca="1">IF(B48="","",IF(ISERROR(MATCH($J48,SorP!$B$1:$B$6230,0)),"",INDIRECT("'SorP'!$A$"&amp;MATCH($J48,SorP!$B$1:$B$6230,0))))</f>
        <v/>
      </c>
      <c r="U48" s="239"/>
      <c r="V48" s="269" t="e">
        <f>IF(C48="",NA(),MATCH($B48&amp;$C48,'Smelter Look-up'!$J:$J,0))</f>
        <v>#N/A</v>
      </c>
      <c r="W48" s="270"/>
      <c r="X48" s="270">
        <f t="shared" ca="1" si="1"/>
        <v>0</v>
      </c>
      <c r="Y48" s="270"/>
      <c r="Z48" s="270"/>
      <c r="AB48" s="272" t="str">
        <f t="shared" si="2"/>
        <v/>
      </c>
    </row>
    <row r="49" spans="1:28" s="271" customFormat="1" ht="20.25">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0"/>
        <v/>
      </c>
      <c r="T49" s="224" t="str">
        <f ca="1">IF(B49="","",IF(ISERROR(MATCH($J49,SorP!$B$1:$B$6230,0)),"",INDIRECT("'SorP'!$A$"&amp;MATCH($J49,SorP!$B$1:$B$6230,0))))</f>
        <v/>
      </c>
      <c r="U49" s="239"/>
      <c r="V49" s="269" t="e">
        <f>IF(C49="",NA(),MATCH($B49&amp;$C49,'Smelter Look-up'!$J:$J,0))</f>
        <v>#N/A</v>
      </c>
      <c r="W49" s="270"/>
      <c r="X49" s="270">
        <f t="shared" ca="1" si="1"/>
        <v>0</v>
      </c>
      <c r="Y49" s="270"/>
      <c r="Z49" s="270"/>
      <c r="AB49" s="272" t="str">
        <f t="shared" si="2"/>
        <v/>
      </c>
    </row>
    <row r="50" spans="1:28" s="271" customFormat="1" ht="20.25">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0"/>
        <v/>
      </c>
      <c r="T50" s="224" t="str">
        <f ca="1">IF(B50="","",IF(ISERROR(MATCH($J50,SorP!$B$1:$B$6230,0)),"",INDIRECT("'SorP'!$A$"&amp;MATCH($J50,SorP!$B$1:$B$6230,0))))</f>
        <v/>
      </c>
      <c r="U50" s="239"/>
      <c r="V50" s="269" t="e">
        <f>IF(C50="",NA(),MATCH($B50&amp;$C50,'Smelter Look-up'!$J:$J,0))</f>
        <v>#N/A</v>
      </c>
      <c r="W50" s="270"/>
      <c r="X50" s="270">
        <f t="shared" ca="1" si="1"/>
        <v>0</v>
      </c>
      <c r="Y50" s="270"/>
      <c r="Z50" s="270"/>
      <c r="AB50" s="272" t="str">
        <f t="shared" si="2"/>
        <v/>
      </c>
    </row>
    <row r="51" spans="1:28" s="271" customFormat="1" ht="20.25">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25">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25">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25">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25">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25">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25">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25">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25">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25">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25">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25">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25">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25">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25">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25">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25">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2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20.2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2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2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2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2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2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2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2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86:B2493">
    <cfRule type="expression" dxfId="143" priority="149" stopIfTrue="1">
      <formula>IF(B586="",TRUE)</formula>
    </cfRule>
    <cfRule type="expression" dxfId="142" priority="160" stopIfTrue="1">
      <formula>IF(AND(COUNTIF(MetalSmelter,B586&amp;C586)=0,LEN(C586)&gt;0), TRUE, FALSE)</formula>
    </cfRule>
  </conditionalFormatting>
  <conditionalFormatting sqref="D586:D2493">
    <cfRule type="expression" dxfId="141" priority="143" stopIfTrue="1">
      <formula>IF(AND(LEN($C586) &gt;0, ($C586 &lt;&gt; "Smelter Not Listed")),1,0)</formula>
    </cfRule>
    <cfRule type="expression" dxfId="140" priority="168" stopIfTrue="1">
      <formula>IF(AND(D586="",$C586=$X$4),TRUE)</formula>
    </cfRule>
    <cfRule type="expression" dxfId="139" priority="169" stopIfTrue="1">
      <formula>IF(FIND("!",D586),TRUE)</formula>
    </cfRule>
  </conditionalFormatting>
  <conditionalFormatting sqref="G586:G2493">
    <cfRule type="expression" dxfId="138" priority="170" stopIfTrue="1">
      <formula>IF(FIND("Enter smelter details",G586),TRUE)</formula>
    </cfRule>
  </conditionalFormatting>
  <conditionalFormatting sqref="R586:R2494 E586:E2493">
    <cfRule type="expression" dxfId="137" priority="156" stopIfTrue="1">
      <formula>IF(AND(E586="",$C586=$X$4),TRUE)</formula>
    </cfRule>
    <cfRule type="expression" dxfId="136" priority="157" stopIfTrue="1">
      <formula>IF(FIND("!",E586),TRUE)</formula>
    </cfRule>
  </conditionalFormatting>
  <conditionalFormatting sqref="F586:F2493">
    <cfRule type="expression" dxfId="135" priority="147" stopIfTrue="1">
      <formula>IF(AND(LEN($A586)&gt;0,$A586&lt;&gt;$F586),TRUE,FALSE)</formula>
    </cfRule>
  </conditionalFormatting>
  <conditionalFormatting sqref="C586:C2493">
    <cfRule type="expression" dxfId="134" priority="146" stopIfTrue="1">
      <formula>IF(AND(B586&lt;&gt;"",C586=""),TRUE)</formula>
    </cfRule>
  </conditionalFormatting>
  <conditionalFormatting sqref="B5:B585">
    <cfRule type="expression" dxfId="133" priority="125" stopIfTrue="1">
      <formula>IF(B5="",TRUE)</formula>
    </cfRule>
    <cfRule type="expression" dxfId="132" priority="128" stopIfTrue="1">
      <formula>IF(AND(COUNTIF(MetalSmelter,B5&amp;C5)=0,LEN(C5)&gt;0), TRUE, FALSE)</formula>
    </cfRule>
  </conditionalFormatting>
  <conditionalFormatting sqref="D5:D585">
    <cfRule type="expression" dxfId="131" priority="122" stopIfTrue="1">
      <formula>IF(AND(LEN($C5) &gt;0, ($C5 &lt;&gt; "Smelter Not Listed")),1,0)</formula>
    </cfRule>
    <cfRule type="expression" dxfId="130" priority="129" stopIfTrue="1">
      <formula>IF(AND(D5="",$C5=$X$4),TRUE)</formula>
    </cfRule>
    <cfRule type="expression" dxfId="129" priority="130" stopIfTrue="1">
      <formula>IF(FIND("!",D5),TRUE)</formula>
    </cfRule>
  </conditionalFormatting>
  <conditionalFormatting sqref="G5:G585">
    <cfRule type="expression" dxfId="128" priority="131" stopIfTrue="1">
      <formula>IF(FIND("Enter smelter details",G5),TRUE)</formula>
    </cfRule>
  </conditionalFormatting>
  <conditionalFormatting sqref="R5:R585 E5:E585">
    <cfRule type="expression" dxfId="127" priority="126" stopIfTrue="1">
      <formula>IF(AND(E5="",$C5=$X$4),TRUE)</formula>
    </cfRule>
    <cfRule type="expression" dxfId="126" priority="127" stopIfTrue="1">
      <formula>IF(FIND("!",E5),TRUE)</formula>
    </cfRule>
  </conditionalFormatting>
  <conditionalFormatting sqref="F5:F585">
    <cfRule type="expression" dxfId="125" priority="124" stopIfTrue="1">
      <formula>IF(AND(LEN($A5)&gt;0,$A5&lt;&gt;$F5),TRUE,FALSE)</formula>
    </cfRule>
  </conditionalFormatting>
  <conditionalFormatting sqref="C5:C8 C10:C585">
    <cfRule type="expression" dxfId="124" priority="123" stopIfTrue="1">
      <formula>IF(AND(B5&lt;&gt;"",C5=""),TRUE)</formula>
    </cfRule>
  </conditionalFormatting>
  <conditionalFormatting sqref="B5:B10">
    <cfRule type="expression" dxfId="123" priority="120" stopIfTrue="1">
      <formula>IF(B5="",TRUE)</formula>
    </cfRule>
    <cfRule type="expression" dxfId="122" priority="121" stopIfTrue="1">
      <formula>IF(AND(COUNTIF(MetalSmlter,B5&amp;C5)=0,LEN(C5)&gt;0), TRUE, FALSE)</formula>
    </cfRule>
  </conditionalFormatting>
  <conditionalFormatting sqref="D5:D10">
    <cfRule type="expression" dxfId="121" priority="117" stopIfTrue="1">
      <formula>IF(AND(LEN($C5) &gt;0, ($C5 &lt;&gt; "Smelter Not Listed")),1,0)</formula>
    </cfRule>
    <cfRule type="expression" dxfId="120" priority="118" stopIfTrue="1">
      <formula>IF(AND(D5="",$C5=$X$4),TRUE)</formula>
    </cfRule>
    <cfRule type="expression" dxfId="119" priority="119" stopIfTrue="1">
      <formula>IF(FIND("!",D5),TRUE)</formula>
    </cfRule>
  </conditionalFormatting>
  <conditionalFormatting sqref="G5:G10">
    <cfRule type="expression" dxfId="118" priority="116" stopIfTrue="1">
      <formula>IF(FIND("Enter smelter details",G5),TRUE)</formula>
    </cfRule>
  </conditionalFormatting>
  <conditionalFormatting sqref="E5:E10">
    <cfRule type="expression" dxfId="117" priority="114" stopIfTrue="1">
      <formula>IF(AND(E5="",$C5=$X$4),TRUE)</formula>
    </cfRule>
    <cfRule type="expression" dxfId="116" priority="115" stopIfTrue="1">
      <formula>IF(FIND("!",E5),TRUE)</formula>
    </cfRule>
  </conditionalFormatting>
  <conditionalFormatting sqref="F5:F10 A5:A9">
    <cfRule type="expression" dxfId="115" priority="113" stopIfTrue="1">
      <formula>IF(AND(LEN($A5)&gt;0,$A5&lt;&gt;$F5),TRUE,FALSE)</formula>
    </cfRule>
  </conditionalFormatting>
  <conditionalFormatting sqref="C5:C8 C10">
    <cfRule type="expression" dxfId="114" priority="112" stopIfTrue="1">
      <formula>IF(AND(B5&lt;&gt;"",C5=""),TRUE)</formula>
    </cfRule>
  </conditionalFormatting>
  <conditionalFormatting sqref="D5">
    <cfRule type="expression" dxfId="113" priority="109" stopIfTrue="1">
      <formula>IF(AND(LEN($C5) &gt;0, ($C5 &lt;&gt; "Smelter Not Listed")),1,0)</formula>
    </cfRule>
    <cfRule type="expression" dxfId="112" priority="110" stopIfTrue="1">
      <formula>IF(AND(D5="",$C5=$X$4),TRUE)</formula>
    </cfRule>
    <cfRule type="expression" dxfId="111" priority="111" stopIfTrue="1">
      <formula>IF(FIND("!",D5),TRUE)</formula>
    </cfRule>
  </conditionalFormatting>
  <conditionalFormatting sqref="F5">
    <cfRule type="expression" dxfId="110" priority="108" stopIfTrue="1">
      <formula>IF(AND(LEN($A5)&gt;0,$A5&lt;&gt;$F5),TRUE,FALSE)</formula>
    </cfRule>
  </conditionalFormatting>
  <conditionalFormatting sqref="D6">
    <cfRule type="expression" dxfId="109" priority="105" stopIfTrue="1">
      <formula>IF(AND(LEN($C6) &gt;0, ($C6 &lt;&gt; "Smelter Not Listed")),1,0)</formula>
    </cfRule>
    <cfRule type="expression" dxfId="108" priority="106" stopIfTrue="1">
      <formula>IF(AND(D6="",$C6=$X$4),TRUE)</formula>
    </cfRule>
    <cfRule type="expression" dxfId="107" priority="107" stopIfTrue="1">
      <formula>IF(FIND("!",D6),TRUE)</formula>
    </cfRule>
  </conditionalFormatting>
  <conditionalFormatting sqref="E5:E6">
    <cfRule type="expression" dxfId="106" priority="103" stopIfTrue="1">
      <formula>IF(AND(E5="",$C5=$X$4),TRUE)</formula>
    </cfRule>
    <cfRule type="expression" dxfId="105" priority="104" stopIfTrue="1">
      <formula>IF(FIND("!",E5),TRUE)</formula>
    </cfRule>
  </conditionalFormatting>
  <conditionalFormatting sqref="F6">
    <cfRule type="expression" dxfId="104" priority="102" stopIfTrue="1">
      <formula>IF(AND(LEN($A6)&gt;0,$A6&lt;&gt;$F6),TRUE,FALSE)</formula>
    </cfRule>
  </conditionalFormatting>
  <conditionalFormatting sqref="D5">
    <cfRule type="expression" dxfId="103" priority="99" stopIfTrue="1">
      <formula>IF(AND(LEN($C5) &gt;0, ($C5 &lt;&gt; "Smelter Not Listed")),1,0)</formula>
    </cfRule>
    <cfRule type="expression" dxfId="102" priority="100" stopIfTrue="1">
      <formula>IF(AND(D5="",$C5=$X$4),TRUE)</formula>
    </cfRule>
    <cfRule type="expression" dxfId="101" priority="101" stopIfTrue="1">
      <formula>IF(FIND("!",D5),TRUE)</formula>
    </cfRule>
  </conditionalFormatting>
  <conditionalFormatting sqref="E5">
    <cfRule type="expression" dxfId="100" priority="97" stopIfTrue="1">
      <formula>IF(AND(E5="",$C5=$X$4),TRUE)</formula>
    </cfRule>
    <cfRule type="expression" dxfId="99" priority="98" stopIfTrue="1">
      <formula>IF(FIND("!",E5),TRUE)</formula>
    </cfRule>
  </conditionalFormatting>
  <conditionalFormatting sqref="F5">
    <cfRule type="expression" dxfId="98" priority="96" stopIfTrue="1">
      <formula>IF(AND(LEN($A5)&gt;0,$A5&lt;&gt;$F5),TRUE,FALSE)</formula>
    </cfRule>
  </conditionalFormatting>
  <conditionalFormatting sqref="D6">
    <cfRule type="expression" dxfId="97" priority="93" stopIfTrue="1">
      <formula>IF(AND(LEN($C6) &gt;0, ($C6 &lt;&gt; "Smelter Not Listed")),1,0)</formula>
    </cfRule>
    <cfRule type="expression" dxfId="96" priority="94" stopIfTrue="1">
      <formula>IF(AND(D6="",$C6=$X$4),TRUE)</formula>
    </cfRule>
    <cfRule type="expression" dxfId="95" priority="95" stopIfTrue="1">
      <formula>IF(FIND("!",D6),TRUE)</formula>
    </cfRule>
  </conditionalFormatting>
  <conditionalFormatting sqref="E6">
    <cfRule type="expression" dxfId="94" priority="91" stopIfTrue="1">
      <formula>IF(AND(E6="",$C6=$X$4),TRUE)</formula>
    </cfRule>
    <cfRule type="expression" dxfId="93" priority="92" stopIfTrue="1">
      <formula>IF(FIND("!",E6),TRUE)</formula>
    </cfRule>
  </conditionalFormatting>
  <conditionalFormatting sqref="F6">
    <cfRule type="expression" dxfId="92" priority="90" stopIfTrue="1">
      <formula>IF(AND(LEN($A6)&gt;0,$A6&lt;&gt;$F6),TRUE,FALSE)</formula>
    </cfRule>
  </conditionalFormatting>
  <conditionalFormatting sqref="A5">
    <cfRule type="expression" dxfId="91" priority="89" stopIfTrue="1">
      <formula>IF(AND(LEN($A5)&gt;0,$A5&lt;&gt;$F5),TRUE,FALSE)</formula>
    </cfRule>
  </conditionalFormatting>
  <conditionalFormatting sqref="B5:B10">
    <cfRule type="expression" dxfId="90" priority="87" stopIfTrue="1">
      <formula>IF(B5="",TRUE)</formula>
    </cfRule>
    <cfRule type="expression" dxfId="89" priority="88" stopIfTrue="1">
      <formula>IF(AND(COUNTIF(MetalSmlter,B5&amp;C5)=0,LEN(C5)&gt;0), TRUE, FALSE)</formula>
    </cfRule>
  </conditionalFormatting>
  <conditionalFormatting sqref="D5:D10">
    <cfRule type="expression" dxfId="88" priority="84" stopIfTrue="1">
      <formula>IF(AND(LEN($C5) &gt;0, ($C5 &lt;&gt; "Smelter Not Listed")),1,0)</formula>
    </cfRule>
    <cfRule type="expression" dxfId="87" priority="85" stopIfTrue="1">
      <formula>IF(AND(D5="",$C5=$X$4),TRUE)</formula>
    </cfRule>
    <cfRule type="expression" dxfId="86" priority="86" stopIfTrue="1">
      <formula>IF(FIND("!",D5),TRUE)</formula>
    </cfRule>
  </conditionalFormatting>
  <conditionalFormatting sqref="G5:G10">
    <cfRule type="expression" dxfId="85" priority="83" stopIfTrue="1">
      <formula>IF(FIND("Enter smelter details",G5),TRUE)</formula>
    </cfRule>
  </conditionalFormatting>
  <conditionalFormatting sqref="E5:E10">
    <cfRule type="expression" dxfId="84" priority="81" stopIfTrue="1">
      <formula>IF(AND(E5="",$C5=$X$4),TRUE)</formula>
    </cfRule>
    <cfRule type="expression" dxfId="83" priority="82" stopIfTrue="1">
      <formula>IF(FIND("!",E5),TRUE)</formula>
    </cfRule>
  </conditionalFormatting>
  <conditionalFormatting sqref="F5:F10">
    <cfRule type="expression" dxfId="82" priority="80" stopIfTrue="1">
      <formula>IF(AND(LEN($A5)&gt;0,$A5&lt;&gt;$F5),TRUE,FALSE)</formula>
    </cfRule>
  </conditionalFormatting>
  <conditionalFormatting sqref="C5:C8 C10">
    <cfRule type="expression" dxfId="81" priority="79" stopIfTrue="1">
      <formula>IF(AND(B5&lt;&gt;"",C5=""),TRUE)</formula>
    </cfRule>
  </conditionalFormatting>
  <conditionalFormatting sqref="B5:B10">
    <cfRule type="expression" dxfId="80" priority="77" stopIfTrue="1">
      <formula>IF(B5="",TRUE)</formula>
    </cfRule>
    <cfRule type="expression" dxfId="79" priority="78" stopIfTrue="1">
      <formula>IF(AND(COUNTIF(MetalSmlter,B5&amp;C5)=0,LEN(C5)&gt;0), TRUE, FALSE)</formula>
    </cfRule>
  </conditionalFormatting>
  <conditionalFormatting sqref="D5 D7:D10">
    <cfRule type="expression" dxfId="78" priority="74" stopIfTrue="1">
      <formula>IF(AND(LEN($C5) &gt;0, ($C5 &lt;&gt; "Smelter Not Listed")),1,0)</formula>
    </cfRule>
    <cfRule type="expression" dxfId="77" priority="75" stopIfTrue="1">
      <formula>IF(AND(D5="",$C5=$X$4),TRUE)</formula>
    </cfRule>
    <cfRule type="expression" dxfId="76" priority="76" stopIfTrue="1">
      <formula>IF(FIND("!",D5),TRUE)</formula>
    </cfRule>
  </conditionalFormatting>
  <conditionalFormatting sqref="G5 G7:G10">
    <cfRule type="expression" dxfId="75" priority="73" stopIfTrue="1">
      <formula>IF(FIND("Enter smelter details",G5),TRUE)</formula>
    </cfRule>
  </conditionalFormatting>
  <conditionalFormatting sqref="E7:E10">
    <cfRule type="expression" dxfId="74" priority="71" stopIfTrue="1">
      <formula>IF(AND(E7="",$C7=$X$4),TRUE)</formula>
    </cfRule>
    <cfRule type="expression" dxfId="73" priority="72" stopIfTrue="1">
      <formula>IF(FIND("!",E7),TRUE)</formula>
    </cfRule>
  </conditionalFormatting>
  <conditionalFormatting sqref="F5 F7:F10">
    <cfRule type="expression" dxfId="72" priority="70" stopIfTrue="1">
      <formula>IF(AND(LEN($A5)&gt;0,$A5&lt;&gt;$F5),TRUE,FALSE)</formula>
    </cfRule>
  </conditionalFormatting>
  <conditionalFormatting sqref="C5:C8 C10">
    <cfRule type="expression" dxfId="71" priority="69" stopIfTrue="1">
      <formula>IF(AND(B5&lt;&gt;"",C5=""),TRUE)</formula>
    </cfRule>
  </conditionalFormatting>
  <conditionalFormatting sqref="D6">
    <cfRule type="expression" dxfId="70" priority="66" stopIfTrue="1">
      <formula>IF(AND(LEN($C6) &gt;0, ($C6 &lt;&gt; "Smelter Not Listed")),1,0)</formula>
    </cfRule>
    <cfRule type="expression" dxfId="69" priority="67" stopIfTrue="1">
      <formula>IF(AND(D6="",$C6=$X$4),TRUE)</formula>
    </cfRule>
    <cfRule type="expression" dxfId="68" priority="68" stopIfTrue="1">
      <formula>IF(FIND("!",D6),TRUE)</formula>
    </cfRule>
  </conditionalFormatting>
  <conditionalFormatting sqref="G6">
    <cfRule type="expression" dxfId="67" priority="65" stopIfTrue="1">
      <formula>IF(FIND("Enter smelter details",G6),TRUE)</formula>
    </cfRule>
  </conditionalFormatting>
  <conditionalFormatting sqref="E5:E6">
    <cfRule type="expression" dxfId="66" priority="63" stopIfTrue="1">
      <formula>IF(AND(E5="",$C5=$X$4),TRUE)</formula>
    </cfRule>
    <cfRule type="expression" dxfId="65" priority="64" stopIfTrue="1">
      <formula>IF(FIND("!",E5),TRUE)</formula>
    </cfRule>
  </conditionalFormatting>
  <conditionalFormatting sqref="F6">
    <cfRule type="expression" dxfId="64" priority="62" stopIfTrue="1">
      <formula>IF(AND(LEN($A6)&gt;0,$A6&lt;&gt;$F6),TRUE,FALSE)</formula>
    </cfRule>
  </conditionalFormatting>
  <conditionalFormatting sqref="D5 D7:D10">
    <cfRule type="expression" dxfId="63" priority="59" stopIfTrue="1">
      <formula>IF(AND(LEN($C5) &gt;0, ($C5 &lt;&gt; "Smelter Not Listed")),1,0)</formula>
    </cfRule>
    <cfRule type="expression" dxfId="62" priority="60" stopIfTrue="1">
      <formula>IF(AND(D5="",$C5=$X$4),TRUE)</formula>
    </cfRule>
    <cfRule type="expression" dxfId="61" priority="61" stopIfTrue="1">
      <formula>IF(FIND("!",D5),TRUE)</formula>
    </cfRule>
  </conditionalFormatting>
  <conditionalFormatting sqref="G5 G7:G10">
    <cfRule type="expression" dxfId="60" priority="58" stopIfTrue="1">
      <formula>IF(FIND("Enter smelter details",G5),TRUE)</formula>
    </cfRule>
  </conditionalFormatting>
  <conditionalFormatting sqref="E5 E7:E10">
    <cfRule type="expression" dxfId="59" priority="56" stopIfTrue="1">
      <formula>IF(AND(E5="",$C5=$X$4),TRUE)</formula>
    </cfRule>
    <cfRule type="expression" dxfId="58" priority="57" stopIfTrue="1">
      <formula>IF(FIND("!",E5),TRUE)</formula>
    </cfRule>
  </conditionalFormatting>
  <conditionalFormatting sqref="F5 F7:F10">
    <cfRule type="expression" dxfId="57" priority="55" stopIfTrue="1">
      <formula>IF(AND(LEN($A5)&gt;0,$A5&lt;&gt;$F5),TRUE,FALSE)</formula>
    </cfRule>
  </conditionalFormatting>
  <conditionalFormatting sqref="D6">
    <cfRule type="expression" dxfId="56" priority="52" stopIfTrue="1">
      <formula>IF(AND(LEN($C6) &gt;0, ($C6 &lt;&gt; "Smelter Not Listed")),1,0)</formula>
    </cfRule>
    <cfRule type="expression" dxfId="55" priority="53" stopIfTrue="1">
      <formula>IF(AND(D6="",$C6=$X$4),TRUE)</formula>
    </cfRule>
    <cfRule type="expression" dxfId="54" priority="54" stopIfTrue="1">
      <formula>IF(FIND("!",D6),TRUE)</formula>
    </cfRule>
  </conditionalFormatting>
  <conditionalFormatting sqref="G6">
    <cfRule type="expression" dxfId="53" priority="51" stopIfTrue="1">
      <formula>IF(FIND("Enter smelter details",G6),TRUE)</formula>
    </cfRule>
  </conditionalFormatting>
  <conditionalFormatting sqref="E6">
    <cfRule type="expression" dxfId="52" priority="49" stopIfTrue="1">
      <formula>IF(AND(E6="",$C6=$X$4),TRUE)</formula>
    </cfRule>
    <cfRule type="expression" dxfId="51" priority="50" stopIfTrue="1">
      <formula>IF(FIND("!",E6),TRUE)</formula>
    </cfRule>
  </conditionalFormatting>
  <conditionalFormatting sqref="F6">
    <cfRule type="expression" dxfId="50" priority="48" stopIfTrue="1">
      <formula>IF(AND(LEN($A6)&gt;0,$A6&lt;&gt;$F6),TRUE,FALSE)</formula>
    </cfRule>
  </conditionalFormatting>
  <conditionalFormatting sqref="B5:B10">
    <cfRule type="expression" dxfId="49" priority="46" stopIfTrue="1">
      <formula>IF(B5="",TRUE)</formula>
    </cfRule>
    <cfRule type="expression" dxfId="48" priority="47" stopIfTrue="1">
      <formula>IF(AND(COUNTIF(MetalSmlter,B5&amp;C5)=0,LEN(C5)&gt;0), TRUE, FALSE)</formula>
    </cfRule>
  </conditionalFormatting>
  <conditionalFormatting sqref="C5:C8 C10">
    <cfRule type="expression" dxfId="47" priority="45" stopIfTrue="1">
      <formula>IF(AND(B5&lt;&gt;"",C5=""),TRUE)</formula>
    </cfRule>
  </conditionalFormatting>
  <conditionalFormatting sqref="B5:B9">
    <cfRule type="expression" dxfId="46" priority="43" stopIfTrue="1">
      <formula>IF(B5="",TRUE)</formula>
    </cfRule>
    <cfRule type="expression" dxfId="45" priority="44" stopIfTrue="1">
      <formula>IF(AND(COUNTIF(MetalSmlter,B5&amp;C5)=0,LEN(C5)&gt;0), TRUE, FALSE)</formula>
    </cfRule>
  </conditionalFormatting>
  <conditionalFormatting sqref="D5:D9">
    <cfRule type="expression" dxfId="44" priority="40" stopIfTrue="1">
      <formula>IF(AND(LEN($C5) &gt;0, ($C5 &lt;&gt; "Smelter Not Listed")),1,0)</formula>
    </cfRule>
    <cfRule type="expression" dxfId="43" priority="41" stopIfTrue="1">
      <formula>IF(AND(D5="",$C5=$X$4),TRUE)</formula>
    </cfRule>
    <cfRule type="expression" dxfId="42" priority="42" stopIfTrue="1">
      <formula>IF(FIND("!",D5),TRUE)</formula>
    </cfRule>
  </conditionalFormatting>
  <conditionalFormatting sqref="G5:G9">
    <cfRule type="expression" dxfId="41" priority="39" stopIfTrue="1">
      <formula>IF(FIND("Enter smelter details",G5),TRUE)</formula>
    </cfRule>
  </conditionalFormatting>
  <conditionalFormatting sqref="E5:E9">
    <cfRule type="expression" dxfId="40" priority="37" stopIfTrue="1">
      <formula>IF(AND(E5="",$C5=$X$4),TRUE)</formula>
    </cfRule>
    <cfRule type="expression" dxfId="39" priority="38" stopIfTrue="1">
      <formula>IF(FIND("!",E5),TRUE)</formula>
    </cfRule>
  </conditionalFormatting>
  <conditionalFormatting sqref="F5:F9">
    <cfRule type="expression" dxfId="38" priority="36" stopIfTrue="1">
      <formula>IF(AND(LEN($A5)&gt;0,$A5&lt;&gt;$F5),TRUE,FALSE)</formula>
    </cfRule>
  </conditionalFormatting>
  <conditionalFormatting sqref="C5:C8">
    <cfRule type="expression" dxfId="37" priority="35" stopIfTrue="1">
      <formula>IF(AND(B5&lt;&gt;"",C5=""),TRUE)</formula>
    </cfRule>
  </conditionalFormatting>
  <conditionalFormatting sqref="A5:A9">
    <cfRule type="expression" dxfId="36" priority="34" stopIfTrue="1">
      <formula>IF(AND(LEN($A5)&gt;0,$A5&lt;&gt;$F5),TRUE,FALSE)</formula>
    </cfRule>
  </conditionalFormatting>
  <conditionalFormatting sqref="B5:B10">
    <cfRule type="expression" dxfId="35" priority="32" stopIfTrue="1">
      <formula>IF(B5="",TRUE)</formula>
    </cfRule>
    <cfRule type="expression" dxfId="34" priority="33" stopIfTrue="1">
      <formula>IF(AND(COUNTIF(MetalSmlter,B5&amp;C5)=0,LEN(C5)&gt;0), TRUE, FALSE)</formula>
    </cfRule>
  </conditionalFormatting>
  <conditionalFormatting sqref="D5:D10">
    <cfRule type="expression" dxfId="33" priority="29" stopIfTrue="1">
      <formula>IF(AND(LEN($C5) &gt;0, ($C5 &lt;&gt; "Smelter Not Listed")),1,0)</formula>
    </cfRule>
    <cfRule type="expression" dxfId="32" priority="30" stopIfTrue="1">
      <formula>IF(AND(D5="",$C5=$X$4),TRUE)</formula>
    </cfRule>
    <cfRule type="expression" dxfId="31" priority="31" stopIfTrue="1">
      <formula>IF(FIND("!",D5),TRUE)</formula>
    </cfRule>
  </conditionalFormatting>
  <conditionalFormatting sqref="G5:G10">
    <cfRule type="expression" dxfId="30" priority="28" stopIfTrue="1">
      <formula>IF(FIND("Enter smelter details",G5),TRUE)</formula>
    </cfRule>
  </conditionalFormatting>
  <conditionalFormatting sqref="E5:E10">
    <cfRule type="expression" dxfId="29" priority="26" stopIfTrue="1">
      <formula>IF(AND(E5="",$C5=$X$4),TRUE)</formula>
    </cfRule>
    <cfRule type="expression" dxfId="28" priority="27" stopIfTrue="1">
      <formula>IF(FIND("!",E5),TRUE)</formula>
    </cfRule>
  </conditionalFormatting>
  <conditionalFormatting sqref="F5:F10">
    <cfRule type="expression" dxfId="27" priority="25" stopIfTrue="1">
      <formula>IF(AND(LEN($A5)&gt;0,$A5&lt;&gt;$F5),TRUE,FALSE)</formula>
    </cfRule>
  </conditionalFormatting>
  <conditionalFormatting sqref="C5:C8 C10">
    <cfRule type="expression" dxfId="26" priority="24" stopIfTrue="1">
      <formula>IF(AND(B5&lt;&gt;"",C5=""),TRUE)</formula>
    </cfRule>
  </conditionalFormatting>
  <conditionalFormatting sqref="A5">
    <cfRule type="expression" dxfId="25" priority="23" stopIfTrue="1">
      <formula>IF(AND(LEN($A5)&gt;0,$A5&lt;&gt;$F5),TRUE,FALSE)</formula>
    </cfRule>
  </conditionalFormatting>
  <conditionalFormatting sqref="A5:A10">
    <cfRule type="expression" dxfId="24" priority="22" stopIfTrue="1">
      <formula>IF(AND(LEN($A5)&gt;0,$A5&lt;&gt;$F5),TRUE,FALSE)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7" sqref="B7"/>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48" t="str">
        <f ca="1">OFFSET(L!$C$1,MATCH("Checker"&amp;ADDRESS(ROW(),COLUMN(),4),L!$A:$A,0)-1,SL,,)</f>
        <v>To ensure all required fields have been populated before submitting to your customers review form for any line items highlighted in red</v>
      </c>
      <c r="B1" s="448"/>
      <c r="C1" s="448"/>
      <c r="D1" s="150" t="str">
        <f ca="1">OFFSET(L!$C$1,MATCH("Checker"&amp;ADDRESS(ROW(),COLUMN(),4),L!$A:$A,0)-1,SL,,)</f>
        <v>Required fields remaining to be completed</v>
      </c>
      <c r="E1" s="87" t="s">
        <v>917</v>
      </c>
    </row>
    <row r="2" spans="1:10" ht="15">
      <c r="A2" s="80" t="s">
        <v>1014</v>
      </c>
      <c r="B2" s="81" t="str">
        <f>IF(F62=1,"Click here to return to Smelter List","")</f>
        <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 xml:space="preserve">EDAC (Dongguan) Limited </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t="str">
        <f>Declaration!D10</f>
        <v xml:space="preserve">products provided by the company </v>
      </c>
      <c r="C6" s="105" t="str">
        <f t="shared" ca="1" si="0"/>
        <v>Complete</v>
      </c>
      <c r="D6" s="111" t="str">
        <f>IF(H6=1,"Click here to provide a Description of Scope","")</f>
        <v/>
      </c>
      <c r="E6" s="87" t="s">
        <v>1437</v>
      </c>
      <c r="F6" s="110">
        <f>IF(OR(B5=Declaration!P9,B5=Declaration!Q9,B5=0),0,1)</f>
        <v>0</v>
      </c>
      <c r="G6" s="84">
        <f t="shared" si="1"/>
        <v>0</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 xml:space="preserve">Jeffrey Zhao </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jeffrey_zhao@edac-dg.com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+86-769-38932188</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 xml:space="preserve">Jeffrey Zhao </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jeffrey_zhao@edac-dg.com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+86-769-38932188</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43795</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 xml:space="preserve">Tungsten  </v>
      </c>
      <c r="B18" s="105" t="str">
        <f>Declaration!D29</f>
        <v>No</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 xml:space="preserve">Tungsten  </v>
      </c>
      <c r="B23" s="105">
        <f>IF($B$18="Yes",Declaration!D35,0)</f>
        <v>0</v>
      </c>
      <c r="C23" s="105" t="str">
        <f t="shared" ca="1" si="3"/>
        <v>Complete</v>
      </c>
      <c r="D23" s="113" t="str">
        <f>IF(H23=1,"Click here to answer question 2 for Tungsten","")</f>
        <v/>
      </c>
      <c r="E23" s="87" t="s">
        <v>918</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No</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No</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 xml:space="preserve">Tungsten  </v>
      </c>
      <c r="B28" s="105">
        <f>IF(AND($B$18="Yes",$B$23="Yes"),Declaration!D41,0)</f>
        <v>0</v>
      </c>
      <c r="C28" s="105" t="str">
        <f t="shared" ca="1" si="3"/>
        <v>Complete</v>
      </c>
      <c r="D28" s="113" t="str">
        <f>IF(H28=1,"Click here to answer question 3 for Tungsten","")</f>
        <v/>
      </c>
      <c r="E28" s="87" t="s">
        <v>918</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 xml:space="preserve">Tungsten  </v>
      </c>
      <c r="B33" s="105">
        <f>IF(AND($B$18="Yes",$B$23="Yes"),Declaration!D47,0)</f>
        <v>0</v>
      </c>
      <c r="C33" s="105" t="str">
        <f ca="1">IF(H33=1,J33,I33)</f>
        <v>Complete</v>
      </c>
      <c r="D33" s="113" t="str">
        <f>IF(H33=1,"Click here to answer question 4 for Tungsten","")</f>
        <v/>
      </c>
      <c r="E33" s="87" t="s">
        <v>1437</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f>IF(AND($B$16="Yes",$B$21="Yes"),Declaration!D51,0)</f>
        <v>1</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Gold  (*)</v>
      </c>
      <c r="B37" s="105">
        <f>IF(AND($B$17="Yes",$B$22="Yes"),Declaration!D52,0)</f>
        <v>1</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 xml:space="preserve">Tungsten  </v>
      </c>
      <c r="B38" s="105">
        <f>IF(AND($B$18="Yes",$B$23="Yes"),Declaration!D53,0)</f>
        <v>0</v>
      </c>
      <c r="C38" s="105" t="str">
        <f t="shared" ca="1" si="3"/>
        <v>Complete</v>
      </c>
      <c r="D38" s="111" t="str">
        <f>IF(H38=1,"Click here to answer question 5 for Tungsten","")</f>
        <v/>
      </c>
      <c r="E38" s="87" t="s">
        <v>917</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Gold  (*)</v>
      </c>
      <c r="B42" s="105" t="str">
        <f>IF(AND($B$17="Yes",$B$22="Yes"),Declaration!D58,0)</f>
        <v>Yes</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 xml:space="preserve">Tungsten  </v>
      </c>
      <c r="B43" s="105">
        <f>IF(AND($B$18="Yes",$B$23="Yes"),Declaration!D59,0)</f>
        <v>0</v>
      </c>
      <c r="C43" s="105" t="str">
        <f t="shared" ca="1" si="3"/>
        <v>Complete</v>
      </c>
      <c r="D43" s="113" t="str">
        <f>IF(H43=1,"Click here to answer question 6 for Tungsten","")</f>
        <v/>
      </c>
      <c r="E43" s="87" t="s">
        <v>1433</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 xml:space="preserve">Tungsten  </v>
      </c>
      <c r="B48" s="105">
        <f>IF(AND($B$18="Yes",$B$23="Yes"),Declaration!D65,0)</f>
        <v>0</v>
      </c>
      <c r="C48" s="105" t="str">
        <f t="shared" ca="1" si="3"/>
        <v>Complete</v>
      </c>
      <c r="D48" s="114" t="str">
        <f>IF(H48=1,"Click here to answer question 7 for Tungsten","")</f>
        <v/>
      </c>
      <c r="E48" s="87" t="s">
        <v>918</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t="str">
        <f>Declaration!G71</f>
        <v>WWW.EDAC.NET</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No</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using other format (describe)</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Yes</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IF(K62=1,L62,IF(B15="No","Not Required",IF(G62=0,I62,J62)))</f>
        <v>Not Required</v>
      </c>
      <c r="D62" s="111" t="str">
        <f>IF(H62=0,"","Click here to provide smelter information")</f>
        <v/>
      </c>
      <c r="E62" s="87" t="s">
        <v>1437</v>
      </c>
      <c r="F62" s="110">
        <f>F25</f>
        <v>0</v>
      </c>
      <c r="G62" s="84">
        <f>IF(AND(COUNTIF(SmelterIdetifiedForMetal,"Tantalum")&gt;0,COUNTIF('Smelter List'!AB$5:AB$2493,"Tantalum?*")&gt;0),0,1)</f>
        <v>1</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IF(H63=0,"","Click here to provide smelter information")</f>
        <v/>
      </c>
      <c r="E63" s="87" t="s">
        <v>918</v>
      </c>
      <c r="F63" s="110">
        <f>F26</f>
        <v>1</v>
      </c>
      <c r="G63" s="84">
        <f>IF(AND(COUNTIF(SmelterIdetifiedForMetal,"Tin")&gt;0,COUNTIF('Smelter List'!AB$5:AB$2493,"Tin?*")&gt;0),0,1)</f>
        <v>0</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Complete</v>
      </c>
      <c r="D64" s="111" t="str">
        <f>IF(H64=0,"","Click here to provide smelter information")</f>
        <v/>
      </c>
      <c r="E64" s="87" t="s">
        <v>918</v>
      </c>
      <c r="F64" s="110">
        <f>F27</f>
        <v>1</v>
      </c>
      <c r="G64" s="84">
        <f>IF(AND(COUNTIF(SmelterIdetifiedForMetal,"Gold")&gt;0,COUNTIF('Smelter List'!AB$5:AB$2493,"Gold?*")&gt;0),0,1)</f>
        <v>0</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IF(K65=1,L65,IF(B18="No","Not Required",IF(G65=0,I65,J65)))</f>
        <v>Not Required</v>
      </c>
      <c r="D65" s="111" t="str">
        <f>IF(H65=0,"","Click here to provide smelter information")</f>
        <v/>
      </c>
      <c r="E65" s="87" t="s">
        <v>918</v>
      </c>
      <c r="F65" s="110">
        <f>F28</f>
        <v>0</v>
      </c>
      <c r="G65" s="84">
        <f>IF(AND(COUNTIF(SmelterIdetifiedForMetal,"Tungsten")&gt;0,COUNTIF('Smelter List'!AB$5:AB$2493,"Tungsten?*")&gt;0),0,1)</f>
        <v>1</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IF(F66=0,J66,IF(G66=0,I66,L66))</f>
        <v>N/A</v>
      </c>
      <c r="D66" s="111"/>
      <c r="E66" s="87"/>
      <c r="F66" s="110">
        <f>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50" t="str">
        <f ca="1">OFFSET(L!$C$1,MATCH("Product List"&amp;ADDRESS(ROW(),COLUMN(),4),L!$A:$A,0)-1,SL,,)</f>
        <v>Completion required only if reporting level "Product (or List of Products)" selected on the 'Declaration' worksheet.</v>
      </c>
      <c r="B1" s="451"/>
      <c r="C1" s="451"/>
      <c r="D1" s="451"/>
      <c r="E1" s="149"/>
    </row>
    <row r="2" spans="1:6">
      <c r="A2" s="29"/>
      <c r="B2" s="151"/>
      <c r="C2" s="151"/>
      <c r="D2"/>
      <c r="E2" s="30"/>
    </row>
    <row r="3" spans="1:6">
      <c r="A3" s="29"/>
      <c r="B3" s="151"/>
      <c r="C3" s="151"/>
      <c r="D3" s="151"/>
      <c r="E3" s="30"/>
    </row>
    <row r="4" spans="1:6" ht="15.75" customHeight="1">
      <c r="A4" s="29"/>
      <c r="B4" s="449" t="s">
        <v>1014</v>
      </c>
      <c r="C4" s="449"/>
      <c r="D4" s="449"/>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349"/>
      <c r="C6" s="115"/>
      <c r="D6" s="115"/>
      <c r="E6" s="32"/>
      <c r="F6"/>
    </row>
    <row r="7" spans="1:6" s="33" customFormat="1" ht="15.75">
      <c r="A7" s="162"/>
      <c r="B7" s="349"/>
      <c r="C7" s="115"/>
      <c r="D7" s="115"/>
      <c r="E7" s="32"/>
      <c r="F7"/>
    </row>
    <row r="8" spans="1:6" s="33" customFormat="1" ht="15.75">
      <c r="A8" s="162"/>
      <c r="B8" s="349"/>
      <c r="C8" s="115"/>
      <c r="D8" s="115"/>
      <c r="E8" s="32"/>
      <c r="F8"/>
    </row>
    <row r="9" spans="1:6" s="33" customFormat="1" ht="15.75">
      <c r="A9" s="162"/>
      <c r="B9" s="350"/>
      <c r="C9" s="115"/>
      <c r="D9" s="115"/>
      <c r="E9" s="32"/>
      <c r="F9"/>
    </row>
    <row r="10" spans="1:6" s="33" customFormat="1" ht="15.75">
      <c r="A10" s="162"/>
      <c r="B10" s="350"/>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52" t="str">
        <f ca="1">OFFSET(L!$C$1,MATCH("General"&amp;"Cpy",L!$A:$A,0)-1,SL,,)</f>
        <v>© 2019 Responsible Minerals Initiative. All rights reserved.</v>
      </c>
      <c r="C1001" s="452"/>
      <c r="D1001" s="452"/>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5" activePane="bottomLeft" state="frozen"/>
      <selection pane="bottomLeft" activeCell="B399" sqref="B399"/>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5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3"/>
      <c r="C1" s="453"/>
      <c r="D1" s="453"/>
      <c r="E1" s="453"/>
      <c r="F1" s="453"/>
      <c r="G1" s="453"/>
    </row>
    <row r="2" spans="1:16">
      <c r="A2" s="454"/>
      <c r="B2" s="454"/>
      <c r="C2" s="454"/>
      <c r="D2" s="454"/>
      <c r="E2" s="454"/>
      <c r="F2" s="454"/>
      <c r="G2" s="454"/>
      <c r="H2" s="454"/>
      <c r="I2" s="454"/>
    </row>
    <row r="3" spans="1:16">
      <c r="A3" s="454"/>
      <c r="B3" s="454"/>
      <c r="C3" s="454"/>
      <c r="D3" s="454"/>
      <c r="E3" s="454"/>
      <c r="F3" s="454"/>
      <c r="G3" s="454"/>
      <c r="H3" s="454"/>
      <c r="I3" s="454"/>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ht="28.5">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ht="28.5">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ht="28.5">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ht="28.5">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ht="28.5">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ht="28.5">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ht="28.5">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Reza Esmaeili</cp:lastModifiedBy>
  <cp:lastPrinted>2015-04-21T20:47:43Z</cp:lastPrinted>
  <dcterms:created xsi:type="dcterms:W3CDTF">2010-06-21T21:00:23Z</dcterms:created>
  <dcterms:modified xsi:type="dcterms:W3CDTF">2019-12-04T14:44:38Z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